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9408" windowHeight="4872" activeTab="0"/>
  </bookViews>
  <sheets>
    <sheet name="rekapitulace" sheetId="1" r:id="rId1"/>
    <sheet name="SO 01" sheetId="2" r:id="rId2"/>
    <sheet name="SO 02" sheetId="3" r:id="rId3"/>
  </sheets>
  <definedNames/>
  <calcPr fullCalcOnLoad="1"/>
</workbook>
</file>

<file path=xl/sharedStrings.xml><?xml version="1.0" encoding="utf-8"?>
<sst xmlns="http://schemas.openxmlformats.org/spreadsheetml/2006/main" count="929" uniqueCount="389">
  <si>
    <t>Poř.č.</t>
  </si>
  <si>
    <t>Číslo položky</t>
  </si>
  <si>
    <t>Text</t>
  </si>
  <si>
    <t>M.j.</t>
  </si>
  <si>
    <t>Celkem</t>
  </si>
  <si>
    <t>Jedn. cena</t>
  </si>
  <si>
    <t>Jedn. hmot.</t>
  </si>
  <si>
    <t>Celk. hmot.</t>
  </si>
  <si>
    <t>Množství</t>
  </si>
  <si>
    <t>800-1</t>
  </si>
  <si>
    <t>Zemní práce</t>
  </si>
  <si>
    <t>1.</t>
  </si>
  <si>
    <t>119 00-1401</t>
  </si>
  <si>
    <t>Dočasné zajištění potrubí ocelového DN do 200 mm</t>
  </si>
  <si>
    <t>0,60*1</t>
  </si>
  <si>
    <t>m</t>
  </si>
  <si>
    <t>2.</t>
  </si>
  <si>
    <t>130 00-1101</t>
  </si>
  <si>
    <t>Příplatek za ztížení vykopávky</t>
  </si>
  <si>
    <t>1,10*1,60*0,60</t>
  </si>
  <si>
    <t>m3</t>
  </si>
  <si>
    <t>3.</t>
  </si>
  <si>
    <t>132 20-1202</t>
  </si>
  <si>
    <t>Hloubení rýh šířky do 2000 mm v hor. 3 do 1000 m3</t>
  </si>
  <si>
    <t>Řad - prům. hl. = 1,79 m - souběh s vodovodem</t>
  </si>
  <si>
    <t>rozšíření výkopu</t>
  </si>
  <si>
    <t>0,60*(1,79-0,30)*15,50+0,60*(1,79-0,20)*(131,10-15,50)</t>
  </si>
  <si>
    <t xml:space="preserve">Odbočné řady - prům. hl. = 1,77 m </t>
  </si>
  <si>
    <t>celková délka = 22,80 m, z toho živice = 1,50 m,</t>
  </si>
  <si>
    <t>štěrk = 10,50 m</t>
  </si>
  <si>
    <t>živice, štěrk</t>
  </si>
  <si>
    <t>0,80*(1,77-0,30)*1,50+0,80*(1,77-0,20)*10,50</t>
  </si>
  <si>
    <t>0,80*1,77*(22,80-1,50-10,50)</t>
  </si>
  <si>
    <t>154,38*0,70</t>
  </si>
  <si>
    <t>4.</t>
  </si>
  <si>
    <t>132 20-1209</t>
  </si>
  <si>
    <t>Příplatek za lepivost hor. 3</t>
  </si>
  <si>
    <t>108,07*0,25</t>
  </si>
  <si>
    <t>5.</t>
  </si>
  <si>
    <t>132 30-1202</t>
  </si>
  <si>
    <t>Hloubení rýh šířky do 2000 mm v hor. 4 do 1000 m3</t>
  </si>
  <si>
    <t>154,38*0,20</t>
  </si>
  <si>
    <t>6.</t>
  </si>
  <si>
    <t>132 30-1209</t>
  </si>
  <si>
    <t>Příplatek za lepivost hor. 4</t>
  </si>
  <si>
    <t>30,88*0,20</t>
  </si>
  <si>
    <t>7.</t>
  </si>
  <si>
    <t>132 40-1201</t>
  </si>
  <si>
    <t>Hloubení rýh šířky do 2000 mm v hor. 5</t>
  </si>
  <si>
    <t>154,38*0,10</t>
  </si>
  <si>
    <t>151 10-1101</t>
  </si>
  <si>
    <t>Zřízení pažení a rozepření rýh příložné do 2 m</t>
  </si>
  <si>
    <t>m2</t>
  </si>
  <si>
    <t>8.</t>
  </si>
  <si>
    <t>řad v souběhu s vodovodem - 1 strana</t>
  </si>
  <si>
    <t>1,79*131,10+1,77*22,80*2</t>
  </si>
  <si>
    <t>151 10-1111</t>
  </si>
  <si>
    <t>Odstranění pažení a rozepření rýh příložné do 2 m</t>
  </si>
  <si>
    <t>9.</t>
  </si>
  <si>
    <t>161 10-1101</t>
  </si>
  <si>
    <t>Svislé přemístění výkopku hor. 1-4 do 2,5 m</t>
  </si>
  <si>
    <t>10.</t>
  </si>
  <si>
    <t>154,38*0,90</t>
  </si>
  <si>
    <t>11.</t>
  </si>
  <si>
    <t>161 10-1151</t>
  </si>
  <si>
    <t>Svislé přemístění výkopku hor. 5-7 do 2,5 m</t>
  </si>
  <si>
    <t>174 10-1101</t>
  </si>
  <si>
    <t>Zásyp rýh sypaninou se zhutněním</t>
  </si>
  <si>
    <t>12.</t>
  </si>
  <si>
    <t>Celkem vytěžená kubatura</t>
  </si>
  <si>
    <t>Odpočet vytlačené kubatury</t>
  </si>
  <si>
    <t>0,60*0,60*131,10*-1+0,80*0,44*22,80*-1</t>
  </si>
  <si>
    <t>171 20-1201</t>
  </si>
  <si>
    <t>Uložení sypaniny na skládku</t>
  </si>
  <si>
    <t>13.</t>
  </si>
  <si>
    <t>171 20-1211</t>
  </si>
  <si>
    <t>Poplatek za uložení sypaniny na skládku</t>
  </si>
  <si>
    <t>t</t>
  </si>
  <si>
    <t>14.</t>
  </si>
  <si>
    <t>175 10-1101</t>
  </si>
  <si>
    <t>Obsyp potrubí bez prohození</t>
  </si>
  <si>
    <t>SPC</t>
  </si>
  <si>
    <t>15.</t>
  </si>
  <si>
    <t>Kamenivo těžené drobné, frakce 0-4 mm</t>
  </si>
  <si>
    <t>16.</t>
  </si>
  <si>
    <t>55,22*1,80</t>
  </si>
  <si>
    <t>0,60*0,50*131,10+0,80*0,34*22,80</t>
  </si>
  <si>
    <t>45,53*1,67*1,23</t>
  </si>
  <si>
    <t>Vodorovné přemístění výkopku hor. 1-4 do 2000 m</t>
  </si>
  <si>
    <t>17.</t>
  </si>
  <si>
    <t>162 40-1102</t>
  </si>
  <si>
    <t>výkopek na mezideponii a zpět pro zásyp</t>
  </si>
  <si>
    <t>99,16*2</t>
  </si>
  <si>
    <t>162 70-1105</t>
  </si>
  <si>
    <t>Vodorovné přemístění výkopku hor. 1-4 do 10000 m</t>
  </si>
  <si>
    <t>18.</t>
  </si>
  <si>
    <t>55,22-15,44</t>
  </si>
  <si>
    <t>19.</t>
  </si>
  <si>
    <t>162 70-1109</t>
  </si>
  <si>
    <t>Příplatek za dalších 1000 m v hor. 1-4</t>
  </si>
  <si>
    <t>39,78*5</t>
  </si>
  <si>
    <t>20.</t>
  </si>
  <si>
    <t>162 70-1155</t>
  </si>
  <si>
    <t>Vodorovné přemístění výkopku hor. 5-7 do 10000 m</t>
  </si>
  <si>
    <t>21.</t>
  </si>
  <si>
    <t>162 70-1159</t>
  </si>
  <si>
    <t>Příplatek za dalších 1000 m v hor. 5-7</t>
  </si>
  <si>
    <t>15,44*5</t>
  </si>
  <si>
    <t>167 10-1101</t>
  </si>
  <si>
    <t>Nakládání výkopku hor. 1-4 do 100 m3</t>
  </si>
  <si>
    <t>výkopek na mezideponii</t>
  </si>
  <si>
    <t>22.</t>
  </si>
  <si>
    <t>822-1</t>
  </si>
  <si>
    <t>23.</t>
  </si>
  <si>
    <t>Odstranění podkladu z kameniva těženého tl.</t>
  </si>
  <si>
    <t>do 200 m2 do 50 m2</t>
  </si>
  <si>
    <t>113 10-7112</t>
  </si>
  <si>
    <t>0,85*15,50+1,30*1,50</t>
  </si>
  <si>
    <t>živičná vozovka</t>
  </si>
  <si>
    <t>24.</t>
  </si>
  <si>
    <t>113 10-7142</t>
  </si>
  <si>
    <t>Odstranění podkladu a krytu živičného tl. do 100 mm</t>
  </si>
  <si>
    <t>do 50 m2</t>
  </si>
  <si>
    <t>25.</t>
  </si>
  <si>
    <t>113 10-7162</t>
  </si>
  <si>
    <t>Odstranění podkladu a krytu z kameniva drceného</t>
  </si>
  <si>
    <t>tl. do 200 mm do 200 m2</t>
  </si>
  <si>
    <t>štěrková vozovka</t>
  </si>
  <si>
    <t>0,85*(131,10-15,50)+1,30*10,50</t>
  </si>
  <si>
    <t>823-1</t>
  </si>
  <si>
    <t>26.</t>
  </si>
  <si>
    <t>181 41-1131</t>
  </si>
  <si>
    <t>Založení trávníku parkového v rovině</t>
  </si>
  <si>
    <t>Travní semeno - parková směs</t>
  </si>
  <si>
    <t>kg</t>
  </si>
  <si>
    <t>185 80-3111</t>
  </si>
  <si>
    <t>Ošetření trávníku jednorázové v rovině</t>
  </si>
  <si>
    <t>185 85-1121</t>
  </si>
  <si>
    <t>Dovoz vody pro zálivku rostlin do 1000 m</t>
  </si>
  <si>
    <t>185 85-1129</t>
  </si>
  <si>
    <t>Příplatek za dalších 1000 m</t>
  </si>
  <si>
    <t>185 80-4312</t>
  </si>
  <si>
    <t>Zalití rostlin vodou</t>
  </si>
  <si>
    <t>předpoklad 20 l/m2</t>
  </si>
  <si>
    <t>3,00*(22,80-1,50-10,50)</t>
  </si>
  <si>
    <t>27.</t>
  </si>
  <si>
    <t>0,32*3,00*1,05</t>
  </si>
  <si>
    <t>28.</t>
  </si>
  <si>
    <t>181 11-1111</t>
  </si>
  <si>
    <t>Plošná úprava terénu při nerovnostech terénu</t>
  </si>
  <si>
    <t>přes +-50 mm do +-100 mm v rovině</t>
  </si>
  <si>
    <t>29.</t>
  </si>
  <si>
    <t>30.</t>
  </si>
  <si>
    <t>31.</t>
  </si>
  <si>
    <t>32.</t>
  </si>
  <si>
    <t>32,40*0,02</t>
  </si>
  <si>
    <t>0,65*4</t>
  </si>
  <si>
    <t>827-1</t>
  </si>
  <si>
    <t>Podkladní konstrukce</t>
  </si>
  <si>
    <t>451 57-3111</t>
  </si>
  <si>
    <t>Lože pod potrubí ze štěrkopísku a písku</t>
  </si>
  <si>
    <t>0,60*0,10*131,10+0,80*0,10*22,80</t>
  </si>
  <si>
    <t>452 11-3131</t>
  </si>
  <si>
    <t>Bloky z betonu prostého tř. C 12/15</t>
  </si>
  <si>
    <t>u proplachovací soupravy</t>
  </si>
  <si>
    <t>452 35-3101</t>
  </si>
  <si>
    <t>Bednění bloků</t>
  </si>
  <si>
    <t>0,15*1</t>
  </si>
  <si>
    <t>2,00*1</t>
  </si>
  <si>
    <t>Pozemní komunikace</t>
  </si>
  <si>
    <t>561 02-1111</t>
  </si>
  <si>
    <t>Zřízení podkladu ze zeminy upravené hydraulickými</t>
  </si>
  <si>
    <t>pojivy tl. do 200 mm do 1000 m2</t>
  </si>
  <si>
    <t>Štěrkopísek netříděný - stabilizační zemina</t>
  </si>
  <si>
    <t>15,13*0,20*1,67*1,23</t>
  </si>
  <si>
    <t>Cement struskoportlandský</t>
  </si>
  <si>
    <t>15,13*0,20*0,0884</t>
  </si>
  <si>
    <t>564 76-2111</t>
  </si>
  <si>
    <t>Podklad a kryt z vibrovaného štěrku tl. 200 mm</t>
  </si>
  <si>
    <t>565 12-5111</t>
  </si>
  <si>
    <t>Asfaltový beton vrstva podkladní ACP 16 tl. 40 mm</t>
  </si>
  <si>
    <t>živičná vozovka - kryt</t>
  </si>
  <si>
    <t>565 14-6111</t>
  </si>
  <si>
    <t>Asfaltový beton vrstva podkladní ACP 22 tl. 40 mm</t>
  </si>
  <si>
    <t>871 17-1121</t>
  </si>
  <si>
    <t>Montáž potrubí z tlakových trubek polyetylenových</t>
  </si>
  <si>
    <t>vnějšího průměru 40 mm</t>
  </si>
  <si>
    <t>přípojky</t>
  </si>
  <si>
    <t>Trubní vedení</t>
  </si>
  <si>
    <t>871 21-1121</t>
  </si>
  <si>
    <t>vnějšího průměru 63 mm</t>
  </si>
  <si>
    <t>871 23-1121</t>
  </si>
  <si>
    <t>vnějšího průměru 75 mm</t>
  </si>
  <si>
    <t>Trubky kanalizační tlakové PE d 40x3,7 mm</t>
  </si>
  <si>
    <t>22,80*1,015</t>
  </si>
  <si>
    <t>Trubky kanalizační tlakové PE d 63x5,8 mm</t>
  </si>
  <si>
    <t>51,20*1,015</t>
  </si>
  <si>
    <t>Trubky kanalizační tlakové PE d 75x6,8 mm</t>
  </si>
  <si>
    <t>79,90*1,015</t>
  </si>
  <si>
    <t>877 21-1121</t>
  </si>
  <si>
    <t>Montáž elektrotvarovek na potrubí z tlakových trubek</t>
  </si>
  <si>
    <t>polyetylenových vnějšího průměru 63 mm</t>
  </si>
  <si>
    <t>ks</t>
  </si>
  <si>
    <t>Lemový nákružek PE 100 SDR 11 d 63 mm</t>
  </si>
  <si>
    <t>Otočná příruba pro lemové nákružky 63/50 mm</t>
  </si>
  <si>
    <t>1,00*1,015</t>
  </si>
  <si>
    <t>852 24-2121</t>
  </si>
  <si>
    <t>Montáž potrubí z tlakových trub přírubových abnormální</t>
  </si>
  <si>
    <t>délky do 1 m DN 80 mm (DN 50 mm)</t>
  </si>
  <si>
    <t>Trouby litinové přírubové - tvárná litina DN 50 mm</t>
  </si>
  <si>
    <t>dl. 400 mm</t>
  </si>
  <si>
    <t>857 24-2121</t>
  </si>
  <si>
    <t>Montáž tvarovek litinových přírubových jednoosých</t>
  </si>
  <si>
    <t>DN 80 mm (DN 50 mm)</t>
  </si>
  <si>
    <t>Koleno přírubové s patkou - tvárná litina DN 50 mm</t>
  </si>
  <si>
    <t>891 21-1111</t>
  </si>
  <si>
    <t>Montáž šoupátek DN 50 mm v otevřeném výkopu</t>
  </si>
  <si>
    <t>Šoupátko z tvárné litiny pro odpadní vodu DN 50 mm</t>
  </si>
  <si>
    <t>Souprava zemní šoupátková DN 65-80 mm</t>
  </si>
  <si>
    <t>891 24-9111</t>
  </si>
  <si>
    <t>Montáž navrtávacích pásů DN 80 mm</t>
  </si>
  <si>
    <t>srovnatelně DN 50, 65</t>
  </si>
  <si>
    <t>Pas navrtávací s kulovým kohoutem DN 50-65x5/4"</t>
  </si>
  <si>
    <t>Souprava zemní pro navrtávací pas</t>
  </si>
  <si>
    <t>899 40-1111</t>
  </si>
  <si>
    <t>Osazení poklopů litinových ventilových</t>
  </si>
  <si>
    <t>899 40-1112</t>
  </si>
  <si>
    <t>Osazení poklopů litinových šoupátkových</t>
  </si>
  <si>
    <t>Poklop litinový šoupátkový</t>
  </si>
  <si>
    <t>Poklop litinový ventilový</t>
  </si>
  <si>
    <t>Dodávka a osazení proplachovací soupravy na tlakové</t>
  </si>
  <si>
    <t>kanalizaci vč. hydrantového poklopu</t>
  </si>
  <si>
    <t>kpl.</t>
  </si>
  <si>
    <t>899 71-2111</t>
  </si>
  <si>
    <t>Orientační tabulky na zdivu</t>
  </si>
  <si>
    <t>892 24-1111</t>
  </si>
  <si>
    <t>Tlakové zkoušky na potrubí DN do 80 mm</t>
  </si>
  <si>
    <t>892 37-2111</t>
  </si>
  <si>
    <t>Zabezpečení konců potrubí při tlakových zkouškách</t>
  </si>
  <si>
    <t>DN do 300 mm</t>
  </si>
  <si>
    <t>899 72-1111</t>
  </si>
  <si>
    <t>Signální vodič na potrubí PVC DN do 150 mm</t>
  </si>
  <si>
    <t>899 72-2113</t>
  </si>
  <si>
    <t>Krytí potrubí z plastů výstražnou folií z PVC š. 34 cm</t>
  </si>
  <si>
    <t>51,20+79,90</t>
  </si>
  <si>
    <t>51,20+79,90+22,80+1,80*9</t>
  </si>
  <si>
    <t>51,20+79,90+22,80</t>
  </si>
  <si>
    <t>Dokončující konstrukce a práce</t>
  </si>
  <si>
    <t>997 22-1551</t>
  </si>
  <si>
    <t>Vodorovná doprava suti na skládku do 1 km</t>
  </si>
  <si>
    <t>997 22-1559</t>
  </si>
  <si>
    <t>Příplatek za další 1 km</t>
  </si>
  <si>
    <t>997 22-1845</t>
  </si>
  <si>
    <t>Poplatek za uložení odpadu na skládce z asfaltových</t>
  </si>
  <si>
    <t>povrchů</t>
  </si>
  <si>
    <t>997 22-1855</t>
  </si>
  <si>
    <t>Poplatek za uložení odpadu na skládce z kameniva</t>
  </si>
  <si>
    <t>919 73-5112</t>
  </si>
  <si>
    <t>Řezání stávajícího živičného krytu hl. do 100 mm</t>
  </si>
  <si>
    <t>15,50+1,50*2</t>
  </si>
  <si>
    <t>(0,24+0,181)*15,13+0,235*111,91</t>
  </si>
  <si>
    <t>32,69*14</t>
  </si>
  <si>
    <t>0,181*15,13</t>
  </si>
  <si>
    <t>32,67-2,74</t>
  </si>
  <si>
    <t>Základní rozpočtové náklady</t>
  </si>
  <si>
    <t>Součet</t>
  </si>
  <si>
    <t>998 27-6101</t>
  </si>
  <si>
    <t>Přesun hmot</t>
  </si>
  <si>
    <t>Náklady na umístění stavby</t>
  </si>
  <si>
    <t>Zařízení staveniště</t>
  </si>
  <si>
    <t>Kč</t>
  </si>
  <si>
    <t>Území se ztíž. výrob. podmínkami</t>
  </si>
  <si>
    <t>DPH</t>
  </si>
  <si>
    <t>Celkem vč. DPH</t>
  </si>
  <si>
    <t>SO 01 - Tlaková kanalizace</t>
  </si>
  <si>
    <t>Psáry - kanalizace a vodovod</t>
  </si>
  <si>
    <t>v ul. Nad Cihelnou</t>
  </si>
  <si>
    <t>SO 02 - Vodovod</t>
  </si>
  <si>
    <t>v délce 131,10 m - rozšíření výkopu</t>
  </si>
  <si>
    <t>Řad - prům. hl. = 1,69 m - souběh s kanalizací</t>
  </si>
  <si>
    <t>0,80*(1,69-0,25)*1,70</t>
  </si>
  <si>
    <t>dlažba</t>
  </si>
  <si>
    <t>0,80*(1,69-0,30)*1,20+0,60*(1,69-0,30)*15,50</t>
  </si>
  <si>
    <t>živice</t>
  </si>
  <si>
    <t>0,80*(1,69-0,20)*(141,70-1,70-1,20-131,10)</t>
  </si>
  <si>
    <t>0,60*(1,69-0,20)*(131,10-15,50)</t>
  </si>
  <si>
    <t>celková délka = 25,50 m, z toho živice = 1,50 m,</t>
  </si>
  <si>
    <t>štěrk = 14,50 m</t>
  </si>
  <si>
    <t xml:space="preserve">Odbočné řady - prům. hl. = 1,54 m </t>
  </si>
  <si>
    <t>0,80*(1,54-0,30)*1,50+0,80*(1,54-0,20)*14,50</t>
  </si>
  <si>
    <t>0,80*1,54*(25,50-1,50-14,50)</t>
  </si>
  <si>
    <t>štěrk</t>
  </si>
  <si>
    <t>119 00-1422</t>
  </si>
  <si>
    <t>Dočasné zajištění kabelů do 6 kabelů</t>
  </si>
  <si>
    <t>0,80*1</t>
  </si>
  <si>
    <t>1,10*1,60*(0,60+0,80)</t>
  </si>
  <si>
    <t>157,48*0,20</t>
  </si>
  <si>
    <t>157,48*0,10</t>
  </si>
  <si>
    <t>157,48*0,70</t>
  </si>
  <si>
    <t>110,24*0,25</t>
  </si>
  <si>
    <t>31,50*0,20</t>
  </si>
  <si>
    <t>řad v souběhu s kanalizací - 1 strana</t>
  </si>
  <si>
    <t>1,69*131,10+1,69*(141,70-131,10)*2+1,54*25,50*2</t>
  </si>
  <si>
    <t>157,48*0,90</t>
  </si>
  <si>
    <t>0,60*0,39*131,10+0,80*0,39*(141,70-131,10)</t>
  </si>
  <si>
    <t>0,80*0,33*25,50</t>
  </si>
  <si>
    <t>0,60*0,49*131,10*-1+0,80*0,49*(141,70-131,10)*-1</t>
  </si>
  <si>
    <t>0,80*0,43*25,50*-1</t>
  </si>
  <si>
    <t>157,48-106,01</t>
  </si>
  <si>
    <t>51,47*1,80</t>
  </si>
  <si>
    <t>40,72*1,67*1,23</t>
  </si>
  <si>
    <t>106,01*2</t>
  </si>
  <si>
    <t>51,47-15,75</t>
  </si>
  <si>
    <t>35,72*5</t>
  </si>
  <si>
    <t>15,75*5</t>
  </si>
  <si>
    <t>167 10-1102</t>
  </si>
  <si>
    <t>Nakládání výkopku hor. 1-4 přes 100 m3</t>
  </si>
  <si>
    <t>113 10-6023</t>
  </si>
  <si>
    <t>Rozebrání dlažeb ze zámkové dlažby</t>
  </si>
  <si>
    <t>chodník</t>
  </si>
  <si>
    <t>1,30*1,70</t>
  </si>
  <si>
    <t>1,30*1,20+0,85*15,50+1,30*1,50</t>
  </si>
  <si>
    <t>113 10-7022</t>
  </si>
  <si>
    <t>Odstranění podkladu z kameniva drceného tl. do 200 mm</t>
  </si>
  <si>
    <t>do 15 m2</t>
  </si>
  <si>
    <t>1,30*(141,70-1,70-1,20-131,10+14,50)</t>
  </si>
  <si>
    <t>0,85*(131,10-15,50)</t>
  </si>
  <si>
    <t>3,00*(25,50-1,50-14,50)</t>
  </si>
  <si>
    <t>0,29*3,00*1,05</t>
  </si>
  <si>
    <t>33.</t>
  </si>
  <si>
    <t>34.</t>
  </si>
  <si>
    <t>35.</t>
  </si>
  <si>
    <t>28,50*0,02</t>
  </si>
  <si>
    <t>0,57*4</t>
  </si>
  <si>
    <t>0,60*0,10*131,10+0,80*0,10*(141,70-131,10)</t>
  </si>
  <si>
    <t>0,80*0,10*25,50</t>
  </si>
  <si>
    <t>0,15*4</t>
  </si>
  <si>
    <t>2,00*4</t>
  </si>
  <si>
    <t>16,69*0,20*1,67*1,23</t>
  </si>
  <si>
    <t>16,69*0,20*0,0884</t>
  </si>
  <si>
    <t>564 85-1111</t>
  </si>
  <si>
    <t>Podklad ze štěrkodrti tl. 150 mm</t>
  </si>
  <si>
    <t>596 21-1120</t>
  </si>
  <si>
    <t>Kladení dlažby z betonových zámkových dlaždic tl.</t>
  </si>
  <si>
    <t>60 mm do lože z kameniva těženého</t>
  </si>
  <si>
    <t>znovupoložení</t>
  </si>
  <si>
    <t>871 16-1121</t>
  </si>
  <si>
    <t>vnějšího průměru 32 mm</t>
  </si>
  <si>
    <t>891 24-1121</t>
  </si>
  <si>
    <t>vnějšího průměru 90 mm</t>
  </si>
  <si>
    <t>Trubky PE 100 SDR 11 d 32x3,0 mm</t>
  </si>
  <si>
    <t>25,50*1,015</t>
  </si>
  <si>
    <t>Trubky PE 100 SDR 11 d 90x8,2 mm</t>
  </si>
  <si>
    <t>141,70*1,015</t>
  </si>
  <si>
    <t>stávající řad DN 100 mm</t>
  </si>
  <si>
    <t xml:space="preserve">Dodávka a montáž tvarovek litinových pro napojení na </t>
  </si>
  <si>
    <t>Dodávka a montáž tvarovek litinových u hydrantů</t>
  </si>
  <si>
    <t>DN 80 mm</t>
  </si>
  <si>
    <t>891 24-1111</t>
  </si>
  <si>
    <t>Montáž šoupátek DN 80 mm v otevřeném výkopu</t>
  </si>
  <si>
    <t>891 26-1111</t>
  </si>
  <si>
    <t>Montáž šoupátek DN 100 mm v otevřeném výkopu</t>
  </si>
  <si>
    <t>Šoupátko vodárenské DN 80 mm</t>
  </si>
  <si>
    <t>Šoupátko vodárenské DN 100 mm</t>
  </si>
  <si>
    <t>Souprava zemní šoupátková DN 100-150 mm</t>
  </si>
  <si>
    <t>891 24-7111</t>
  </si>
  <si>
    <t>Montáž hydrantů podzemních</t>
  </si>
  <si>
    <t>Hydrant podzemní</t>
  </si>
  <si>
    <t>Pas navrtávací s kulovým kohoutem DN 80-500x1</t>
  </si>
  <si>
    <t>899 40-1113</t>
  </si>
  <si>
    <t>Osazení poklopů litinových hydrantových</t>
  </si>
  <si>
    <t>Poklop litinový hydrantový</t>
  </si>
  <si>
    <t>892 27-3121</t>
  </si>
  <si>
    <t>Proplach a desinfekce vodovodního potrubí DN 80-125</t>
  </si>
  <si>
    <t>141,70+25,50+1,80*13</t>
  </si>
  <si>
    <t>141,70+25,50</t>
  </si>
  <si>
    <t>(1,20+1,50)*2+15,50</t>
  </si>
  <si>
    <t>(0,24+0,181)*16,69+0,235*(2,21+127,12)</t>
  </si>
  <si>
    <t>37,42*14</t>
  </si>
  <si>
    <t>0,181*16,69</t>
  </si>
  <si>
    <t>37,42-3,02</t>
  </si>
  <si>
    <t>979 05-1121</t>
  </si>
  <si>
    <t>Očištění vybouraných zámkových dlaždic</t>
  </si>
  <si>
    <t>Sestavení nákladů</t>
  </si>
  <si>
    <t>Stavební objekt</t>
  </si>
  <si>
    <t>ZRN</t>
  </si>
  <si>
    <t>NUS</t>
  </si>
  <si>
    <t>vč. DPH</t>
  </si>
  <si>
    <t>Vytýčení sítí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</si>
</sst>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</numFmts>
  <fonts count="39">
    <font>
      <sz val="10"/>
      <name val="Arial CE"/>
      <family val="0"/>
    </font>
    <font>
      <b/>
      <sz val="10"/>
      <name val="Arial CE"/>
      <family val="0"/>
    </font>
    <font>
      <u val="single"/>
      <sz val="10"/>
      <name val="Arial CE"/>
      <family val="0"/>
    </font>
    <font>
      <b/>
      <sz val="14"/>
      <name val="Arial CE"/>
      <family val="0"/>
    </font>
    <font>
      <b/>
      <sz val="12"/>
      <name val="Arial CE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4" fontId="0" fillId="0" borderId="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Alignment="1">
      <alignment/>
    </xf>
    <xf numFmtId="3" fontId="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D17" sqref="D17"/>
    </sheetView>
  </sheetViews>
  <sheetFormatPr defaultColWidth="9.00390625" defaultRowHeight="12.75"/>
  <cols>
    <col min="1" max="1" width="49.625" style="24" customWidth="1"/>
    <col min="2" max="2" width="13.625" style="24" customWidth="1"/>
    <col min="3" max="3" width="13.625" style="0" customWidth="1"/>
    <col min="4" max="7" width="13.625" style="24" customWidth="1"/>
    <col min="8" max="8" width="10.125" style="24" customWidth="1"/>
    <col min="9" max="9" width="10.00390625" style="24" customWidth="1"/>
  </cols>
  <sheetData>
    <row r="1" ht="17.25">
      <c r="A1" s="12" t="s">
        <v>275</v>
      </c>
    </row>
    <row r="2" ht="17.25">
      <c r="A2" s="12" t="s">
        <v>276</v>
      </c>
    </row>
    <row r="4" spans="1:2" ht="17.25">
      <c r="A4" s="25" t="s">
        <v>383</v>
      </c>
      <c r="B4"/>
    </row>
    <row r="5" spans="1:2" ht="12.75">
      <c r="A5"/>
      <c r="B5"/>
    </row>
    <row r="6" spans="1:6" ht="12.75">
      <c r="A6"/>
      <c r="B6"/>
      <c r="D6"/>
      <c r="E6"/>
      <c r="F6" s="28" t="s">
        <v>4</v>
      </c>
    </row>
    <row r="7" spans="1:6" ht="12.75">
      <c r="A7" s="26" t="s">
        <v>384</v>
      </c>
      <c r="B7" s="27" t="s">
        <v>385</v>
      </c>
      <c r="C7" s="27" t="s">
        <v>386</v>
      </c>
      <c r="D7" s="28" t="s">
        <v>4</v>
      </c>
      <c r="E7" s="28" t="s">
        <v>272</v>
      </c>
      <c r="F7" s="27" t="s">
        <v>387</v>
      </c>
    </row>
    <row r="9" spans="1:6" ht="12.75">
      <c r="A9" s="7" t="s">
        <v>274</v>
      </c>
      <c r="B9" s="29">
        <f>'SO 01'!G14</f>
        <v>0</v>
      </c>
      <c r="C9" s="16">
        <f>'SO 01'!G19</f>
        <v>0</v>
      </c>
      <c r="D9" s="29"/>
      <c r="E9" s="29">
        <f>'SO 01'!G22</f>
        <v>0</v>
      </c>
      <c r="F9" s="29">
        <f>SUM(D9:E9)</f>
        <v>0</v>
      </c>
    </row>
    <row r="10" ht="12.75">
      <c r="A10" s="15"/>
    </row>
    <row r="11" spans="1:6" ht="12.75">
      <c r="A11" s="7" t="s">
        <v>277</v>
      </c>
      <c r="B11" s="33">
        <f>'SO 02'!G14</f>
        <v>0</v>
      </c>
      <c r="C11" s="17">
        <f>'SO 02'!G19</f>
        <v>0</v>
      </c>
      <c r="D11" s="33"/>
      <c r="E11" s="33">
        <f>'SO 02'!G22</f>
        <v>0</v>
      </c>
      <c r="F11" s="33">
        <f>SUM(D11:E11)</f>
        <v>0</v>
      </c>
    </row>
    <row r="12" spans="1:6" ht="12.75">
      <c r="A12" s="7"/>
      <c r="B12" s="33"/>
      <c r="C12" s="17"/>
      <c r="D12" s="33"/>
      <c r="E12" s="33"/>
      <c r="F12" s="33"/>
    </row>
    <row r="13" spans="1:6" ht="13.5" thickBot="1">
      <c r="A13" s="34" t="s">
        <v>388</v>
      </c>
      <c r="B13" s="30">
        <v>0</v>
      </c>
      <c r="C13" s="18">
        <v>0</v>
      </c>
      <c r="D13" s="30"/>
      <c r="E13" s="30">
        <v>0</v>
      </c>
      <c r="F13" s="30">
        <v>0</v>
      </c>
    </row>
    <row r="14" spans="1:6" ht="12.75">
      <c r="A14" s="31" t="s">
        <v>4</v>
      </c>
      <c r="B14" s="29">
        <f>SUM(B9:B13)</f>
        <v>0</v>
      </c>
      <c r="C14" s="29">
        <f>SUM(C9:C13)</f>
        <v>0</v>
      </c>
      <c r="D14" s="32">
        <f>SUM(D9:D13)</f>
        <v>0</v>
      </c>
      <c r="E14" s="29">
        <f>SUM(E9:E13)</f>
        <v>0</v>
      </c>
      <c r="F14" s="32">
        <f>SUM(F9:F13)</f>
        <v>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180" verticalDpi="180" orientation="landscape" paperSize="9" r:id="rId1"/>
  <headerFooter alignWithMargins="0"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85"/>
  <sheetViews>
    <sheetView zoomScalePageLayoutView="0" workbookViewId="0" topLeftCell="A1">
      <selection activeCell="F28" sqref="F28"/>
    </sheetView>
  </sheetViews>
  <sheetFormatPr defaultColWidth="9.00390625" defaultRowHeight="12.75"/>
  <cols>
    <col min="1" max="1" width="5.50390625" style="1" customWidth="1"/>
    <col min="2" max="2" width="11.50390625" style="1" customWidth="1"/>
    <col min="3" max="3" width="46.00390625" style="0" customWidth="1"/>
    <col min="4" max="4" width="5.125" style="1" customWidth="1"/>
    <col min="5" max="5" width="13.00390625" style="4" customWidth="1"/>
    <col min="6" max="6" width="10.875" style="4" customWidth="1"/>
    <col min="7" max="7" width="13.625" style="4" customWidth="1"/>
    <col min="8" max="8" width="10.125" style="0" customWidth="1"/>
    <col min="9" max="9" width="10.00390625" style="4" customWidth="1"/>
  </cols>
  <sheetData>
    <row r="1" ht="17.25">
      <c r="C1" s="12" t="s">
        <v>275</v>
      </c>
    </row>
    <row r="2" ht="17.25">
      <c r="C2" s="12" t="s">
        <v>276</v>
      </c>
    </row>
    <row r="4" ht="15">
      <c r="C4" s="13" t="s">
        <v>274</v>
      </c>
    </row>
    <row r="6" spans="3:9" ht="15">
      <c r="C6" s="13" t="s">
        <v>264</v>
      </c>
      <c r="I6" s="14"/>
    </row>
    <row r="7" spans="1:9" ht="12.75">
      <c r="A7" s="1" t="s">
        <v>11</v>
      </c>
      <c r="C7" s="15" t="s">
        <v>10</v>
      </c>
      <c r="G7" s="16">
        <f>G151</f>
        <v>0</v>
      </c>
      <c r="I7" s="16">
        <f>I151</f>
        <v>0.43261752</v>
      </c>
    </row>
    <row r="8" spans="1:9" ht="12.75">
      <c r="A8" s="1" t="s">
        <v>16</v>
      </c>
      <c r="C8" s="15" t="s">
        <v>158</v>
      </c>
      <c r="G8" s="16">
        <f>G164</f>
        <v>0</v>
      </c>
      <c r="I8" s="16">
        <f>I164</f>
        <v>18.6694413</v>
      </c>
    </row>
    <row r="9" spans="1:9" ht="12.75">
      <c r="A9" s="1" t="s">
        <v>21</v>
      </c>
      <c r="C9" s="15" t="s">
        <v>169</v>
      </c>
      <c r="G9" s="16">
        <f>G186</f>
        <v>0</v>
      </c>
      <c r="I9" s="16">
        <f>I186</f>
        <v>58.3495496</v>
      </c>
    </row>
    <row r="10" spans="1:9" ht="12.75">
      <c r="A10" s="1" t="s">
        <v>34</v>
      </c>
      <c r="C10" s="15" t="s">
        <v>188</v>
      </c>
      <c r="G10" s="17">
        <f>G267</f>
        <v>0</v>
      </c>
      <c r="I10" s="17">
        <f>I267</f>
        <v>2.01338235</v>
      </c>
    </row>
    <row r="11" spans="1:9" ht="13.5" thickBot="1">
      <c r="A11" s="1" t="s">
        <v>38</v>
      </c>
      <c r="C11" s="15" t="s">
        <v>247</v>
      </c>
      <c r="G11" s="18">
        <f>G285</f>
        <v>0</v>
      </c>
      <c r="I11" s="18"/>
    </row>
    <row r="12" spans="2:9" ht="12.75">
      <c r="B12" s="1" t="s">
        <v>157</v>
      </c>
      <c r="C12" s="15" t="s">
        <v>265</v>
      </c>
      <c r="G12" s="16">
        <f>SUM(G7:G11)</f>
        <v>0</v>
      </c>
      <c r="I12" s="16">
        <f>SUM(I7:I11)</f>
        <v>79.46499077</v>
      </c>
    </row>
    <row r="13" spans="1:9" ht="13.5" thickBot="1">
      <c r="A13" s="1" t="s">
        <v>42</v>
      </c>
      <c r="B13" s="1" t="s">
        <v>266</v>
      </c>
      <c r="C13" s="15" t="s">
        <v>267</v>
      </c>
      <c r="D13" s="1" t="s">
        <v>77</v>
      </c>
      <c r="E13" s="4">
        <f>I12</f>
        <v>79.46499077</v>
      </c>
      <c r="G13" s="18">
        <f>E13*F13</f>
        <v>0</v>
      </c>
      <c r="I13" s="14"/>
    </row>
    <row r="14" spans="3:9" ht="12.75">
      <c r="C14" s="19" t="s">
        <v>4</v>
      </c>
      <c r="G14" s="20">
        <f>SUM(G12:G13)</f>
        <v>0</v>
      </c>
      <c r="I14" s="14"/>
    </row>
    <row r="15" ht="12.75">
      <c r="I15" s="14"/>
    </row>
    <row r="16" spans="3:9" ht="15">
      <c r="C16" s="21" t="s">
        <v>268</v>
      </c>
      <c r="G16" s="16"/>
      <c r="I16" s="14"/>
    </row>
    <row r="17" spans="1:9" ht="12.75">
      <c r="A17" s="1" t="s">
        <v>11</v>
      </c>
      <c r="C17" t="s">
        <v>269</v>
      </c>
      <c r="D17" s="1" t="s">
        <v>270</v>
      </c>
      <c r="E17" s="4">
        <f>G14</f>
        <v>0</v>
      </c>
      <c r="F17" s="14"/>
      <c r="G17" s="16">
        <f>E17*F17</f>
        <v>0</v>
      </c>
      <c r="I17" s="14"/>
    </row>
    <row r="18" spans="1:9" ht="13.5" thickBot="1">
      <c r="A18" s="1" t="s">
        <v>16</v>
      </c>
      <c r="C18" t="s">
        <v>271</v>
      </c>
      <c r="D18" s="1" t="s">
        <v>270</v>
      </c>
      <c r="E18" s="4">
        <f>G14</f>
        <v>0</v>
      </c>
      <c r="F18" s="14"/>
      <c r="G18" s="18">
        <f>E18*F18</f>
        <v>0</v>
      </c>
      <c r="I18" s="14"/>
    </row>
    <row r="19" spans="3:9" ht="12.75">
      <c r="C19" s="19" t="s">
        <v>4</v>
      </c>
      <c r="G19" s="22">
        <f>SUM(G17:G18)</f>
        <v>0</v>
      </c>
      <c r="I19" s="14"/>
    </row>
    <row r="20" spans="7:9" ht="12.75">
      <c r="G20" s="16"/>
      <c r="I20" s="14"/>
    </row>
    <row r="21" spans="3:9" ht="15">
      <c r="C21" s="21" t="s">
        <v>4</v>
      </c>
      <c r="G21" s="22">
        <f>G14+G19</f>
        <v>0</v>
      </c>
      <c r="I21" s="14"/>
    </row>
    <row r="22" spans="3:9" ht="15">
      <c r="C22" s="21" t="s">
        <v>272</v>
      </c>
      <c r="D22" s="1" t="s">
        <v>270</v>
      </c>
      <c r="E22" s="4">
        <f>G21</f>
        <v>0</v>
      </c>
      <c r="G22" s="22">
        <f>E22*F22</f>
        <v>0</v>
      </c>
      <c r="I22" s="14"/>
    </row>
    <row r="23" spans="3:9" ht="15">
      <c r="C23" s="21" t="s">
        <v>273</v>
      </c>
      <c r="G23" s="22">
        <f>SUM(G21:G22)</f>
        <v>0</v>
      </c>
      <c r="I23" s="14"/>
    </row>
    <row r="35" spans="1:9" ht="12.75">
      <c r="A35" s="1" t="s">
        <v>0</v>
      </c>
      <c r="B35" s="1" t="s">
        <v>1</v>
      </c>
      <c r="C35" s="1" t="s">
        <v>2</v>
      </c>
      <c r="D35" s="1" t="s">
        <v>3</v>
      </c>
      <c r="E35" s="3" t="s">
        <v>8</v>
      </c>
      <c r="F35" s="3" t="s">
        <v>5</v>
      </c>
      <c r="G35" s="3" t="s">
        <v>4</v>
      </c>
      <c r="H35" s="1" t="s">
        <v>6</v>
      </c>
      <c r="I35" s="3" t="s">
        <v>7</v>
      </c>
    </row>
    <row r="37" spans="2:3" ht="12.75">
      <c r="B37" s="1" t="s">
        <v>9</v>
      </c>
      <c r="C37" s="2" t="s">
        <v>10</v>
      </c>
    </row>
    <row r="39" spans="1:3" ht="12.75">
      <c r="A39" s="1" t="s">
        <v>11</v>
      </c>
      <c r="B39" s="1" t="s">
        <v>12</v>
      </c>
      <c r="C39" t="s">
        <v>13</v>
      </c>
    </row>
    <row r="40" spans="3:9" ht="12.75">
      <c r="C40" t="s">
        <v>14</v>
      </c>
      <c r="D40" s="1" t="s">
        <v>15</v>
      </c>
      <c r="E40" s="4">
        <f>0.6*1</f>
        <v>0.6</v>
      </c>
      <c r="G40" s="4">
        <f>E40*F40</f>
        <v>0</v>
      </c>
      <c r="H40">
        <v>0.00868</v>
      </c>
      <c r="I40" s="4">
        <f>E40*H40</f>
        <v>0.005208</v>
      </c>
    </row>
    <row r="42" spans="1:3" ht="12.75">
      <c r="A42" s="1" t="s">
        <v>16</v>
      </c>
      <c r="B42" s="1" t="s">
        <v>17</v>
      </c>
      <c r="C42" t="s">
        <v>18</v>
      </c>
    </row>
    <row r="43" spans="3:7" ht="12.75">
      <c r="C43" t="s">
        <v>19</v>
      </c>
      <c r="D43" s="1" t="s">
        <v>20</v>
      </c>
      <c r="E43" s="4">
        <f>1.1*1.6*0.6</f>
        <v>1.056</v>
      </c>
      <c r="G43" s="4">
        <f>E43*F43</f>
        <v>0</v>
      </c>
    </row>
    <row r="45" spans="1:3" ht="12.75">
      <c r="A45" s="1" t="s">
        <v>21</v>
      </c>
      <c r="B45" s="1" t="s">
        <v>22</v>
      </c>
      <c r="C45" t="s">
        <v>23</v>
      </c>
    </row>
    <row r="46" ht="12.75">
      <c r="C46" t="s">
        <v>24</v>
      </c>
    </row>
    <row r="47" ht="12.75">
      <c r="C47" t="s">
        <v>25</v>
      </c>
    </row>
    <row r="48" spans="2:5" ht="12.75">
      <c r="B48" s="1" t="s">
        <v>30</v>
      </c>
      <c r="C48" t="s">
        <v>26</v>
      </c>
      <c r="D48" s="1" t="s">
        <v>20</v>
      </c>
      <c r="E48" s="4">
        <f>0.6*(1.79-0.3)*15.5+0.6*(1.79-0.2)*(131.1-15.5)</f>
        <v>124.1394</v>
      </c>
    </row>
    <row r="49" ht="12.75">
      <c r="C49" t="s">
        <v>27</v>
      </c>
    </row>
    <row r="50" ht="12.75">
      <c r="C50" t="s">
        <v>28</v>
      </c>
    </row>
    <row r="51" ht="12.75">
      <c r="C51" t="s">
        <v>29</v>
      </c>
    </row>
    <row r="52" spans="2:5" ht="12.75">
      <c r="B52" s="1" t="s">
        <v>30</v>
      </c>
      <c r="C52" t="s">
        <v>31</v>
      </c>
      <c r="D52" s="1" t="s">
        <v>20</v>
      </c>
      <c r="E52" s="4">
        <f>0.8*(1.77-0.3)*1.5+0.8*(1.77-0.2)*10.5</f>
        <v>14.952000000000002</v>
      </c>
    </row>
    <row r="53" spans="3:5" ht="12.75">
      <c r="C53" t="s">
        <v>32</v>
      </c>
      <c r="D53" s="1" t="s">
        <v>20</v>
      </c>
      <c r="E53" s="5">
        <f>0.8*1.77*(22.8-1.5-10.5)</f>
        <v>15.292800000000003</v>
      </c>
    </row>
    <row r="54" spans="4:5" ht="12.75">
      <c r="D54" s="1" t="s">
        <v>20</v>
      </c>
      <c r="E54" s="4">
        <f>SUM(E48:E53)</f>
        <v>154.3842</v>
      </c>
    </row>
    <row r="55" spans="3:7" ht="12.75">
      <c r="C55" t="s">
        <v>33</v>
      </c>
      <c r="D55" s="1" t="s">
        <v>20</v>
      </c>
      <c r="E55" s="4">
        <f>154.38*0.7</f>
        <v>108.06599999999999</v>
      </c>
      <c r="G55" s="4">
        <f>E55*F55</f>
        <v>0</v>
      </c>
    </row>
    <row r="57" spans="1:3" ht="12.75">
      <c r="A57" s="1" t="s">
        <v>34</v>
      </c>
      <c r="B57" s="1" t="s">
        <v>35</v>
      </c>
      <c r="C57" t="s">
        <v>36</v>
      </c>
    </row>
    <row r="58" spans="3:7" ht="12.75">
      <c r="C58" t="s">
        <v>37</v>
      </c>
      <c r="D58" s="1" t="s">
        <v>20</v>
      </c>
      <c r="E58" s="4">
        <f>108.07*0.25</f>
        <v>27.0175</v>
      </c>
      <c r="G58" s="4">
        <f>E58*F58</f>
        <v>0</v>
      </c>
    </row>
    <row r="60" spans="1:3" ht="12.75">
      <c r="A60" s="1" t="s">
        <v>38</v>
      </c>
      <c r="B60" s="1" t="s">
        <v>39</v>
      </c>
      <c r="C60" t="s">
        <v>40</v>
      </c>
    </row>
    <row r="61" spans="3:7" ht="12.75">
      <c r="C61" t="s">
        <v>41</v>
      </c>
      <c r="D61" s="1" t="s">
        <v>20</v>
      </c>
      <c r="E61" s="4">
        <f>154.38*0.2</f>
        <v>30.876</v>
      </c>
      <c r="G61" s="4">
        <f>E61*F61</f>
        <v>0</v>
      </c>
    </row>
    <row r="63" spans="1:3" ht="12.75">
      <c r="A63" s="1" t="s">
        <v>42</v>
      </c>
      <c r="B63" s="1" t="s">
        <v>43</v>
      </c>
      <c r="C63" t="s">
        <v>44</v>
      </c>
    </row>
    <row r="64" spans="3:7" ht="12.75">
      <c r="C64" t="s">
        <v>45</v>
      </c>
      <c r="D64" s="1" t="s">
        <v>20</v>
      </c>
      <c r="E64" s="4">
        <f>30.88*0.2</f>
        <v>6.176</v>
      </c>
      <c r="G64" s="4">
        <f>E64*F64</f>
        <v>0</v>
      </c>
    </row>
    <row r="66" spans="1:3" ht="12.75">
      <c r="A66" s="1" t="s">
        <v>46</v>
      </c>
      <c r="B66" s="1" t="s">
        <v>47</v>
      </c>
      <c r="C66" t="s">
        <v>48</v>
      </c>
    </row>
    <row r="67" spans="3:9" ht="12.75">
      <c r="C67" t="s">
        <v>49</v>
      </c>
      <c r="D67" s="1" t="s">
        <v>20</v>
      </c>
      <c r="E67" s="4">
        <f>154.38*0.1</f>
        <v>15.438</v>
      </c>
      <c r="G67" s="4">
        <f>E67*F67</f>
        <v>0</v>
      </c>
      <c r="H67">
        <v>0.01046</v>
      </c>
      <c r="I67" s="4">
        <f>E67*H67</f>
        <v>0.16148148</v>
      </c>
    </row>
    <row r="71" spans="1:3" ht="12.75">
      <c r="A71" s="1" t="s">
        <v>53</v>
      </c>
      <c r="B71" s="1" t="s">
        <v>50</v>
      </c>
      <c r="C71" t="s">
        <v>51</v>
      </c>
    </row>
    <row r="72" ht="12.75">
      <c r="C72" t="s">
        <v>54</v>
      </c>
    </row>
    <row r="73" spans="3:9" ht="12.75">
      <c r="C73" t="s">
        <v>55</v>
      </c>
      <c r="D73" s="1" t="s">
        <v>52</v>
      </c>
      <c r="E73" s="4">
        <f>1.79*131.1+1.77*22.8*2</f>
        <v>315.381</v>
      </c>
      <c r="G73" s="4">
        <f>E73*F73</f>
        <v>0</v>
      </c>
      <c r="H73">
        <v>0.00084</v>
      </c>
      <c r="I73" s="4">
        <f>E73*H73</f>
        <v>0.26492003999999997</v>
      </c>
    </row>
    <row r="75" spans="1:7" ht="12.75">
      <c r="A75" s="1" t="s">
        <v>58</v>
      </c>
      <c r="B75" s="1" t="s">
        <v>56</v>
      </c>
      <c r="C75" t="s">
        <v>57</v>
      </c>
      <c r="D75" s="1" t="s">
        <v>52</v>
      </c>
      <c r="E75" s="4">
        <v>315.38</v>
      </c>
      <c r="G75" s="4">
        <f>E75*F75</f>
        <v>0</v>
      </c>
    </row>
    <row r="77" spans="1:3" ht="12.75">
      <c r="A77" s="1" t="s">
        <v>61</v>
      </c>
      <c r="B77" s="1" t="s">
        <v>59</v>
      </c>
      <c r="C77" t="s">
        <v>60</v>
      </c>
    </row>
    <row r="78" spans="3:7" ht="12.75">
      <c r="C78" t="s">
        <v>62</v>
      </c>
      <c r="D78" s="1" t="s">
        <v>20</v>
      </c>
      <c r="E78" s="4">
        <f>154.38*0.9</f>
        <v>138.942</v>
      </c>
      <c r="G78" s="4">
        <f>E78*F78</f>
        <v>0</v>
      </c>
    </row>
    <row r="80" spans="1:3" ht="12.75">
      <c r="A80" s="1" t="s">
        <v>63</v>
      </c>
      <c r="B80" s="1" t="s">
        <v>64</v>
      </c>
      <c r="C80" t="s">
        <v>65</v>
      </c>
    </row>
    <row r="81" spans="3:7" ht="12.75">
      <c r="C81" t="s">
        <v>49</v>
      </c>
      <c r="D81" s="1" t="s">
        <v>20</v>
      </c>
      <c r="E81" s="4">
        <f>154.38*0.1</f>
        <v>15.438</v>
      </c>
      <c r="G81" s="4">
        <f>E81*F81</f>
        <v>0</v>
      </c>
    </row>
    <row r="83" spans="1:3" ht="12.75">
      <c r="A83" s="1" t="s">
        <v>68</v>
      </c>
      <c r="B83" s="1" t="s">
        <v>66</v>
      </c>
      <c r="C83" t="s">
        <v>67</v>
      </c>
    </row>
    <row r="84" spans="3:5" ht="12.75">
      <c r="C84" t="s">
        <v>69</v>
      </c>
      <c r="D84" s="1" t="s">
        <v>20</v>
      </c>
      <c r="E84" s="4">
        <v>154.38</v>
      </c>
    </row>
    <row r="85" ht="12.75">
      <c r="C85" t="s">
        <v>70</v>
      </c>
    </row>
    <row r="86" spans="3:5" ht="12.75">
      <c r="C86" t="s">
        <v>71</v>
      </c>
      <c r="D86" s="1" t="s">
        <v>20</v>
      </c>
      <c r="E86" s="5">
        <f>0.6*0.6*131.1*-1+0.8*0.44*22.8*-1</f>
        <v>-55.221599999999995</v>
      </c>
    </row>
    <row r="87" spans="4:7" ht="12.75">
      <c r="D87" s="1" t="s">
        <v>20</v>
      </c>
      <c r="E87" s="4">
        <f>SUM(E84:E86)</f>
        <v>99.1584</v>
      </c>
      <c r="G87" s="4">
        <f>E87*F87</f>
        <v>0</v>
      </c>
    </row>
    <row r="89" spans="1:7" ht="12.75">
      <c r="A89" s="1" t="s">
        <v>74</v>
      </c>
      <c r="B89" s="1" t="s">
        <v>72</v>
      </c>
      <c r="C89" t="s">
        <v>73</v>
      </c>
      <c r="D89" s="1" t="s">
        <v>20</v>
      </c>
      <c r="E89" s="4">
        <v>55.22</v>
      </c>
      <c r="G89" s="4">
        <f>E89*F89</f>
        <v>0</v>
      </c>
    </row>
    <row r="91" spans="1:3" ht="12.75">
      <c r="A91" s="1" t="s">
        <v>78</v>
      </c>
      <c r="B91" s="1" t="s">
        <v>75</v>
      </c>
      <c r="C91" t="s">
        <v>76</v>
      </c>
    </row>
    <row r="92" spans="3:7" ht="12.75">
      <c r="C92" t="s">
        <v>85</v>
      </c>
      <c r="D92" s="1" t="s">
        <v>77</v>
      </c>
      <c r="E92" s="4">
        <f>55.22*1.8</f>
        <v>99.396</v>
      </c>
      <c r="G92" s="4">
        <f>E92*F92</f>
        <v>0</v>
      </c>
    </row>
    <row r="94" spans="1:3" ht="12.75">
      <c r="A94" s="1" t="s">
        <v>82</v>
      </c>
      <c r="B94" s="1" t="s">
        <v>79</v>
      </c>
      <c r="C94" t="s">
        <v>80</v>
      </c>
    </row>
    <row r="95" spans="3:7" ht="12.75">
      <c r="C95" t="s">
        <v>86</v>
      </c>
      <c r="D95" s="1" t="s">
        <v>20</v>
      </c>
      <c r="E95" s="4">
        <f>0.6*0.5*131.1+0.8*0.34*22.8</f>
        <v>45.5316</v>
      </c>
      <c r="G95" s="4">
        <f>E95*F95</f>
        <v>0</v>
      </c>
    </row>
    <row r="96" ht="12.75">
      <c r="B96" s="1" t="s">
        <v>81</v>
      </c>
    </row>
    <row r="97" spans="1:3" ht="12.75">
      <c r="A97" s="1" t="s">
        <v>84</v>
      </c>
      <c r="B97" s="6">
        <v>583313450</v>
      </c>
      <c r="C97" t="s">
        <v>83</v>
      </c>
    </row>
    <row r="98" spans="3:7" ht="12.75">
      <c r="C98" t="s">
        <v>87</v>
      </c>
      <c r="D98" s="1" t="s">
        <v>77</v>
      </c>
      <c r="E98" s="4">
        <f>45.53*1.67*1.23</f>
        <v>93.523173</v>
      </c>
      <c r="G98" s="4">
        <f>E98*F98</f>
        <v>0</v>
      </c>
    </row>
    <row r="100" spans="1:3" ht="12.75">
      <c r="A100" s="1" t="s">
        <v>89</v>
      </c>
      <c r="B100" s="1" t="s">
        <v>90</v>
      </c>
      <c r="C100" s="7" t="s">
        <v>88</v>
      </c>
    </row>
    <row r="101" ht="12.75">
      <c r="C101" t="s">
        <v>91</v>
      </c>
    </row>
    <row r="102" spans="3:7" ht="12.75">
      <c r="C102" t="s">
        <v>92</v>
      </c>
      <c r="D102" s="1" t="s">
        <v>20</v>
      </c>
      <c r="E102" s="4">
        <f>99.16*2</f>
        <v>198.32</v>
      </c>
      <c r="G102" s="4">
        <f>E102*F102</f>
        <v>0</v>
      </c>
    </row>
    <row r="104" spans="1:7" ht="12.75">
      <c r="A104" s="1" t="s">
        <v>95</v>
      </c>
      <c r="B104" s="1" t="s">
        <v>93</v>
      </c>
      <c r="C104" t="s">
        <v>94</v>
      </c>
      <c r="G104" s="8"/>
    </row>
    <row r="105" spans="3:7" ht="12.75">
      <c r="C105" t="s">
        <v>96</v>
      </c>
      <c r="D105" s="1" t="s">
        <v>20</v>
      </c>
      <c r="E105" s="4">
        <f>55.22-15.44</f>
        <v>39.78</v>
      </c>
      <c r="G105" s="8">
        <f>E105*F105</f>
        <v>0</v>
      </c>
    </row>
    <row r="107" spans="1:3" ht="12.75">
      <c r="A107" s="1" t="s">
        <v>97</v>
      </c>
      <c r="B107" s="1" t="s">
        <v>98</v>
      </c>
      <c r="C107" t="s">
        <v>99</v>
      </c>
    </row>
    <row r="108" spans="3:7" ht="12.75">
      <c r="C108" t="s">
        <v>100</v>
      </c>
      <c r="D108" s="1" t="s">
        <v>20</v>
      </c>
      <c r="E108" s="4">
        <f>39.78*5</f>
        <v>198.9</v>
      </c>
      <c r="G108" s="8">
        <f>E108*F108</f>
        <v>0</v>
      </c>
    </row>
    <row r="110" spans="1:7" ht="12.75">
      <c r="A110" s="1" t="s">
        <v>101</v>
      </c>
      <c r="B110" s="1" t="s">
        <v>102</v>
      </c>
      <c r="C110" t="s">
        <v>103</v>
      </c>
      <c r="D110" s="1" t="s">
        <v>20</v>
      </c>
      <c r="E110" s="4">
        <v>15.44</v>
      </c>
      <c r="G110" s="8">
        <f>E110*F110</f>
        <v>0</v>
      </c>
    </row>
    <row r="112" spans="1:3" ht="12.75">
      <c r="A112" s="1" t="s">
        <v>104</v>
      </c>
      <c r="B112" s="1" t="s">
        <v>105</v>
      </c>
      <c r="C112" t="s">
        <v>106</v>
      </c>
    </row>
    <row r="113" spans="3:7" ht="12.75">
      <c r="C113" t="s">
        <v>107</v>
      </c>
      <c r="D113" s="1" t="s">
        <v>20</v>
      </c>
      <c r="E113" s="4">
        <f>15.44*5</f>
        <v>77.2</v>
      </c>
      <c r="G113" s="8">
        <f>E113*F113</f>
        <v>0</v>
      </c>
    </row>
    <row r="115" spans="1:3" ht="12.75">
      <c r="A115" s="1" t="s">
        <v>111</v>
      </c>
      <c r="B115" s="1" t="s">
        <v>108</v>
      </c>
      <c r="C115" t="s">
        <v>109</v>
      </c>
    </row>
    <row r="116" spans="3:7" ht="12.75">
      <c r="C116" t="s">
        <v>110</v>
      </c>
      <c r="D116" s="1" t="s">
        <v>20</v>
      </c>
      <c r="E116" s="4">
        <v>99.16</v>
      </c>
      <c r="G116" s="4">
        <f>E116*F116</f>
        <v>0</v>
      </c>
    </row>
    <row r="117" ht="12.75">
      <c r="B117" s="1" t="s">
        <v>112</v>
      </c>
    </row>
    <row r="118" spans="1:3" ht="12.75">
      <c r="A118" s="1" t="s">
        <v>113</v>
      </c>
      <c r="B118" s="1" t="s">
        <v>116</v>
      </c>
      <c r="C118" t="s">
        <v>114</v>
      </c>
    </row>
    <row r="119" spans="2:3" ht="12.75">
      <c r="B119" s="1">
        <v>0.24</v>
      </c>
      <c r="C119" t="s">
        <v>115</v>
      </c>
    </row>
    <row r="120" ht="12.75">
      <c r="C120" t="s">
        <v>118</v>
      </c>
    </row>
    <row r="121" spans="3:7" ht="12.75">
      <c r="C121" t="s">
        <v>117</v>
      </c>
      <c r="D121" s="1" t="s">
        <v>52</v>
      </c>
      <c r="E121" s="4">
        <f>0.85*15.5+1.3*1.5</f>
        <v>15.125</v>
      </c>
      <c r="G121" s="4">
        <f>E121*F121</f>
        <v>0</v>
      </c>
    </row>
    <row r="123" spans="1:3" ht="12.75">
      <c r="A123" s="1" t="s">
        <v>119</v>
      </c>
      <c r="B123" s="1" t="s">
        <v>120</v>
      </c>
      <c r="C123" t="s">
        <v>121</v>
      </c>
    </row>
    <row r="124" spans="2:3" ht="12.75">
      <c r="B124" s="1">
        <v>0.181</v>
      </c>
      <c r="C124" t="s">
        <v>122</v>
      </c>
    </row>
    <row r="125" spans="3:7" ht="12.75">
      <c r="C125" t="s">
        <v>118</v>
      </c>
      <c r="D125" s="1" t="s">
        <v>52</v>
      </c>
      <c r="E125" s="4">
        <v>15.13</v>
      </c>
      <c r="G125" s="4">
        <f>E125*F125</f>
        <v>0</v>
      </c>
    </row>
    <row r="127" spans="1:3" ht="12.75">
      <c r="A127" s="1" t="s">
        <v>123</v>
      </c>
      <c r="B127" s="1" t="s">
        <v>124</v>
      </c>
      <c r="C127" t="s">
        <v>125</v>
      </c>
    </row>
    <row r="128" spans="2:3" ht="12.75">
      <c r="B128" s="1">
        <v>0.235</v>
      </c>
      <c r="C128" t="s">
        <v>126</v>
      </c>
    </row>
    <row r="129" ht="12.75">
      <c r="C129" t="s">
        <v>127</v>
      </c>
    </row>
    <row r="130" spans="3:7" ht="12.75">
      <c r="C130" t="s">
        <v>128</v>
      </c>
      <c r="D130" s="1" t="s">
        <v>52</v>
      </c>
      <c r="E130" s="4">
        <f>0.85*(131.1-15.5)+1.3*10.5</f>
        <v>111.91</v>
      </c>
      <c r="G130" s="4">
        <f>E130*F130</f>
        <v>0</v>
      </c>
    </row>
    <row r="131" spans="2:7" ht="12.75">
      <c r="B131" s="1" t="s">
        <v>129</v>
      </c>
      <c r="G131" s="8"/>
    </row>
    <row r="132" spans="1:7" ht="12.75">
      <c r="A132" s="1" t="s">
        <v>130</v>
      </c>
      <c r="B132" s="1" t="s">
        <v>131</v>
      </c>
      <c r="C132" t="s">
        <v>132</v>
      </c>
      <c r="G132" s="8"/>
    </row>
    <row r="133" spans="3:7" ht="12.75">
      <c r="C133" t="s">
        <v>144</v>
      </c>
      <c r="D133" s="1" t="s">
        <v>52</v>
      </c>
      <c r="E133" s="4">
        <f>3*(22.8-1.5-10.5)</f>
        <v>32.400000000000006</v>
      </c>
      <c r="G133" s="8">
        <f>E133*F133</f>
        <v>0</v>
      </c>
    </row>
    <row r="134" ht="12.75">
      <c r="G134" s="8"/>
    </row>
    <row r="135" spans="1:3" ht="12.75">
      <c r="A135" s="1" t="s">
        <v>145</v>
      </c>
      <c r="C135" t="s">
        <v>133</v>
      </c>
    </row>
    <row r="136" spans="3:9" ht="12.75">
      <c r="C136" t="s">
        <v>146</v>
      </c>
      <c r="D136" s="1" t="s">
        <v>134</v>
      </c>
      <c r="E136" s="4">
        <f>0.32*3*1.05</f>
        <v>1.008</v>
      </c>
      <c r="G136" s="8">
        <f>E136*F136</f>
        <v>0</v>
      </c>
      <c r="H136">
        <v>0.001</v>
      </c>
      <c r="I136" s="4">
        <f>E136*H136</f>
        <v>0.001008</v>
      </c>
    </row>
    <row r="137" ht="12.75">
      <c r="G137" s="8"/>
    </row>
    <row r="138" spans="1:7" ht="12.75">
      <c r="A138" s="1" t="s">
        <v>147</v>
      </c>
      <c r="B138" s="1" t="s">
        <v>148</v>
      </c>
      <c r="C138" t="s">
        <v>149</v>
      </c>
      <c r="G138" s="8"/>
    </row>
    <row r="139" spans="3:7" ht="12.75">
      <c r="C139" t="s">
        <v>150</v>
      </c>
      <c r="D139" s="1" t="s">
        <v>52</v>
      </c>
      <c r="E139" s="4">
        <v>32.4</v>
      </c>
      <c r="G139" s="8">
        <f>E139*F139</f>
        <v>0</v>
      </c>
    </row>
    <row r="140" ht="12.75">
      <c r="G140" s="8"/>
    </row>
    <row r="141" spans="1:7" ht="12.75">
      <c r="A141" s="1" t="s">
        <v>151</v>
      </c>
      <c r="B141" s="1" t="s">
        <v>135</v>
      </c>
      <c r="C141" t="s">
        <v>136</v>
      </c>
      <c r="D141" s="1" t="s">
        <v>52</v>
      </c>
      <c r="E141" s="4">
        <v>32.4</v>
      </c>
      <c r="G141" s="8">
        <f>E141*F141</f>
        <v>0</v>
      </c>
    </row>
    <row r="142" ht="12.75">
      <c r="G142" s="8"/>
    </row>
    <row r="143" spans="1:7" ht="12.75">
      <c r="A143" s="1" t="s">
        <v>152</v>
      </c>
      <c r="B143" s="1" t="s">
        <v>137</v>
      </c>
      <c r="C143" t="s">
        <v>138</v>
      </c>
      <c r="D143" s="1" t="s">
        <v>20</v>
      </c>
      <c r="E143" s="4">
        <v>0.65</v>
      </c>
      <c r="G143" s="8">
        <f>E143*F143</f>
        <v>0</v>
      </c>
    </row>
    <row r="144" ht="12.75">
      <c r="G144" s="8"/>
    </row>
    <row r="145" spans="1:7" ht="12.75">
      <c r="A145" s="1" t="s">
        <v>153</v>
      </c>
      <c r="B145" s="1" t="s">
        <v>139</v>
      </c>
      <c r="C145" t="s">
        <v>140</v>
      </c>
      <c r="G145" s="8"/>
    </row>
    <row r="146" spans="3:7" ht="12.75">
      <c r="C146" t="s">
        <v>156</v>
      </c>
      <c r="D146" s="1" t="s">
        <v>20</v>
      </c>
      <c r="E146" s="4">
        <f>0.65*4</f>
        <v>2.6</v>
      </c>
      <c r="G146" s="8">
        <f>E146*F146</f>
        <v>0</v>
      </c>
    </row>
    <row r="147" spans="7:9" ht="12.75">
      <c r="G147" s="8"/>
      <c r="I147" s="8"/>
    </row>
    <row r="148" spans="1:3" ht="12.75">
      <c r="A148" s="1" t="s">
        <v>154</v>
      </c>
      <c r="B148" s="1" t="s">
        <v>141</v>
      </c>
      <c r="C148" t="s">
        <v>142</v>
      </c>
    </row>
    <row r="149" ht="12.75">
      <c r="C149" t="s">
        <v>143</v>
      </c>
    </row>
    <row r="150" spans="3:9" ht="13.5" thickBot="1">
      <c r="C150" t="s">
        <v>155</v>
      </c>
      <c r="D150" s="1" t="s">
        <v>20</v>
      </c>
      <c r="E150" s="4">
        <f>32.4*0.02</f>
        <v>0.648</v>
      </c>
      <c r="G150" s="9">
        <f>E150*F150</f>
        <v>0</v>
      </c>
      <c r="I150" s="9"/>
    </row>
    <row r="151" spans="3:9" ht="12.75">
      <c r="C151" s="10" t="s">
        <v>4</v>
      </c>
      <c r="G151" s="11">
        <f>SUM(G39:G150)</f>
        <v>0</v>
      </c>
      <c r="I151" s="4">
        <f>SUM(I39:I150)</f>
        <v>0.43261752</v>
      </c>
    </row>
    <row r="153" spans="2:3" ht="12.75">
      <c r="B153" s="1" t="s">
        <v>157</v>
      </c>
      <c r="C153" s="2" t="s">
        <v>158</v>
      </c>
    </row>
    <row r="155" spans="1:3" ht="12.75">
      <c r="A155" s="1" t="s">
        <v>11</v>
      </c>
      <c r="B155" s="1" t="s">
        <v>159</v>
      </c>
      <c r="C155" t="s">
        <v>160</v>
      </c>
    </row>
    <row r="156" spans="3:9" ht="12.75">
      <c r="C156" t="s">
        <v>161</v>
      </c>
      <c r="D156" s="1" t="s">
        <v>20</v>
      </c>
      <c r="E156" s="4">
        <f>0.6*0.1*131.1+0.8*0.1*22.8</f>
        <v>9.69</v>
      </c>
      <c r="G156" s="8">
        <f>E156*F156</f>
        <v>0</v>
      </c>
      <c r="H156">
        <v>1.89077</v>
      </c>
      <c r="I156" s="8">
        <f>E156*H156</f>
        <v>18.3215613</v>
      </c>
    </row>
    <row r="158" spans="1:3" ht="12.75">
      <c r="A158" s="1" t="s">
        <v>16</v>
      </c>
      <c r="B158" s="1" t="s">
        <v>162</v>
      </c>
      <c r="C158" t="s">
        <v>163</v>
      </c>
    </row>
    <row r="159" ht="12.75">
      <c r="C159" t="s">
        <v>164</v>
      </c>
    </row>
    <row r="160" spans="3:9" ht="12.75">
      <c r="C160" t="s">
        <v>167</v>
      </c>
      <c r="D160" s="1" t="s">
        <v>20</v>
      </c>
      <c r="E160" s="4">
        <f>0.15*1</f>
        <v>0.15</v>
      </c>
      <c r="G160" s="4">
        <f>E160*F160</f>
        <v>0</v>
      </c>
      <c r="H160">
        <v>2.234</v>
      </c>
      <c r="I160" s="4">
        <f>E160*H160</f>
        <v>0.3351</v>
      </c>
    </row>
    <row r="161" spans="7:9" ht="12.75">
      <c r="G161" s="8"/>
      <c r="I161" s="8"/>
    </row>
    <row r="162" spans="1:3" ht="12.75">
      <c r="A162" s="1" t="s">
        <v>21</v>
      </c>
      <c r="B162" s="1" t="s">
        <v>165</v>
      </c>
      <c r="C162" t="s">
        <v>166</v>
      </c>
    </row>
    <row r="163" spans="3:9" ht="13.5" thickBot="1">
      <c r="C163" t="s">
        <v>168</v>
      </c>
      <c r="D163" s="1" t="s">
        <v>52</v>
      </c>
      <c r="E163" s="4">
        <f>2*1</f>
        <v>2</v>
      </c>
      <c r="G163" s="9">
        <f>E163*F163</f>
        <v>0</v>
      </c>
      <c r="H163">
        <v>0.00639</v>
      </c>
      <c r="I163" s="9">
        <f>E163*H163</f>
        <v>0.01278</v>
      </c>
    </row>
    <row r="164" spans="3:9" ht="12.75">
      <c r="C164" s="10" t="s">
        <v>4</v>
      </c>
      <c r="G164" s="11">
        <f>SUM(G156:G163)</f>
        <v>0</v>
      </c>
      <c r="I164" s="4">
        <f>SUM(I156:I163)</f>
        <v>18.6694413</v>
      </c>
    </row>
    <row r="166" spans="2:3" ht="12.75">
      <c r="B166" s="1" t="s">
        <v>112</v>
      </c>
      <c r="C166" s="2" t="s">
        <v>169</v>
      </c>
    </row>
    <row r="168" spans="1:3" ht="12.75">
      <c r="A168" s="1" t="s">
        <v>11</v>
      </c>
      <c r="B168" s="1" t="s">
        <v>170</v>
      </c>
      <c r="C168" t="s">
        <v>171</v>
      </c>
    </row>
    <row r="169" ht="12.75">
      <c r="C169" t="s">
        <v>172</v>
      </c>
    </row>
    <row r="170" spans="3:7" ht="12.75">
      <c r="C170" t="s">
        <v>118</v>
      </c>
      <c r="D170" s="1" t="s">
        <v>52</v>
      </c>
      <c r="E170" s="4">
        <v>15.13</v>
      </c>
      <c r="G170" s="8">
        <f>E170*F170</f>
        <v>0</v>
      </c>
    </row>
    <row r="171" ht="12.75">
      <c r="B171" s="1" t="s">
        <v>81</v>
      </c>
    </row>
    <row r="172" spans="1:3" ht="12.75">
      <c r="A172" s="1" t="s">
        <v>16</v>
      </c>
      <c r="B172" s="6">
        <v>583312010</v>
      </c>
      <c r="C172" t="s">
        <v>173</v>
      </c>
    </row>
    <row r="173" spans="3:7" ht="12.75">
      <c r="C173" t="s">
        <v>174</v>
      </c>
      <c r="D173" s="1" t="s">
        <v>77</v>
      </c>
      <c r="E173" s="4">
        <f>15.13*0.2*1.67*1.23</f>
        <v>6.2157066</v>
      </c>
      <c r="G173" s="8">
        <f>E173*F173</f>
        <v>0</v>
      </c>
    </row>
    <row r="175" spans="1:3" ht="12.75">
      <c r="A175" s="1" t="s">
        <v>21</v>
      </c>
      <c r="B175" s="6">
        <v>585211130</v>
      </c>
      <c r="C175" t="s">
        <v>175</v>
      </c>
    </row>
    <row r="176" spans="3:7" ht="12.75">
      <c r="C176" t="s">
        <v>176</v>
      </c>
      <c r="D176" s="1" t="s">
        <v>77</v>
      </c>
      <c r="E176" s="4">
        <f>15.13*0.2*0.0884</f>
        <v>0.2674984</v>
      </c>
      <c r="G176" s="8">
        <f>E176*F176</f>
        <v>0</v>
      </c>
    </row>
    <row r="179" spans="1:3" ht="12.75">
      <c r="A179" s="1" t="s">
        <v>34</v>
      </c>
      <c r="B179" s="1" t="s">
        <v>177</v>
      </c>
      <c r="C179" t="s">
        <v>178</v>
      </c>
    </row>
    <row r="180" spans="3:9" ht="12.75">
      <c r="C180" t="s">
        <v>127</v>
      </c>
      <c r="D180" s="1" t="s">
        <v>52</v>
      </c>
      <c r="E180" s="4">
        <v>111.91</v>
      </c>
      <c r="G180" s="8">
        <f>E180*F180</f>
        <v>0</v>
      </c>
      <c r="H180">
        <v>0.48574</v>
      </c>
      <c r="I180" s="4">
        <f>E180*H180</f>
        <v>54.3591634</v>
      </c>
    </row>
    <row r="182" spans="1:3" ht="12.75">
      <c r="A182" s="1" t="s">
        <v>38</v>
      </c>
      <c r="B182" s="1" t="s">
        <v>179</v>
      </c>
      <c r="C182" t="s">
        <v>180</v>
      </c>
    </row>
    <row r="183" spans="3:9" ht="12.75">
      <c r="C183" t="s">
        <v>181</v>
      </c>
      <c r="D183" s="1" t="s">
        <v>52</v>
      </c>
      <c r="E183" s="4">
        <v>15.13</v>
      </c>
      <c r="G183" s="8">
        <f>E183*F183</f>
        <v>0</v>
      </c>
      <c r="H183">
        <v>0.10548</v>
      </c>
      <c r="I183" s="4">
        <f>E183*H183</f>
        <v>1.5959124000000002</v>
      </c>
    </row>
    <row r="185" spans="1:9" ht="13.5" thickBot="1">
      <c r="A185" s="1" t="s">
        <v>42</v>
      </c>
      <c r="B185" s="1" t="s">
        <v>182</v>
      </c>
      <c r="C185" t="s">
        <v>183</v>
      </c>
      <c r="D185" s="1" t="s">
        <v>52</v>
      </c>
      <c r="E185" s="4">
        <v>15.13</v>
      </c>
      <c r="G185" s="9">
        <f>E185*F185</f>
        <v>0</v>
      </c>
      <c r="H185">
        <v>0.15826</v>
      </c>
      <c r="I185" s="9">
        <f>E185*H185</f>
        <v>2.3944738</v>
      </c>
    </row>
    <row r="186" spans="3:9" ht="12.75">
      <c r="C186" s="10" t="s">
        <v>4</v>
      </c>
      <c r="G186" s="11">
        <f>SUM(G170:G185)</f>
        <v>0</v>
      </c>
      <c r="I186" s="4">
        <f>SUM(I170:I185)</f>
        <v>58.3495496</v>
      </c>
    </row>
    <row r="188" spans="2:3" ht="12.75">
      <c r="B188" s="1" t="s">
        <v>157</v>
      </c>
      <c r="C188" s="2" t="s">
        <v>188</v>
      </c>
    </row>
    <row r="190" spans="1:3" ht="12.75">
      <c r="A190" s="1" t="s">
        <v>11</v>
      </c>
      <c r="B190" s="1" t="s">
        <v>184</v>
      </c>
      <c r="C190" t="s">
        <v>185</v>
      </c>
    </row>
    <row r="191" ht="12.75">
      <c r="C191" t="s">
        <v>186</v>
      </c>
    </row>
    <row r="192" spans="3:7" ht="12.75">
      <c r="C192" t="s">
        <v>187</v>
      </c>
      <c r="D192" s="1" t="s">
        <v>15</v>
      </c>
      <c r="E192" s="4">
        <v>22.8</v>
      </c>
      <c r="G192" s="4">
        <f>E192*F192</f>
        <v>0</v>
      </c>
    </row>
    <row r="194" spans="1:3" ht="12.75">
      <c r="A194" s="1" t="s">
        <v>16</v>
      </c>
      <c r="B194" s="1" t="s">
        <v>189</v>
      </c>
      <c r="C194" t="s">
        <v>185</v>
      </c>
    </row>
    <row r="195" spans="3:7" ht="12.75">
      <c r="C195" t="s">
        <v>190</v>
      </c>
      <c r="D195" s="1" t="s">
        <v>15</v>
      </c>
      <c r="E195" s="4">
        <v>51.2</v>
      </c>
      <c r="G195" s="4">
        <f>E195*F195</f>
        <v>0</v>
      </c>
    </row>
    <row r="197" spans="1:3" ht="12.75">
      <c r="A197" s="1" t="s">
        <v>21</v>
      </c>
      <c r="B197" s="1" t="s">
        <v>191</v>
      </c>
      <c r="C197" t="s">
        <v>185</v>
      </c>
    </row>
    <row r="198" spans="3:7" ht="12.75">
      <c r="C198" t="s">
        <v>192</v>
      </c>
      <c r="D198" s="1" t="s">
        <v>15</v>
      </c>
      <c r="E198" s="4">
        <v>79.9</v>
      </c>
      <c r="G198" s="4">
        <f>E198*F198</f>
        <v>0</v>
      </c>
    </row>
    <row r="199" ht="12.75">
      <c r="B199" s="1" t="s">
        <v>81</v>
      </c>
    </row>
    <row r="200" spans="1:3" ht="12.75">
      <c r="A200" s="1" t="s">
        <v>34</v>
      </c>
      <c r="B200" s="6">
        <v>286136820</v>
      </c>
      <c r="C200" t="s">
        <v>193</v>
      </c>
    </row>
    <row r="201" spans="3:9" ht="12.75">
      <c r="C201" t="s">
        <v>194</v>
      </c>
      <c r="D201" s="1" t="s">
        <v>15</v>
      </c>
      <c r="E201" s="4">
        <f>22.8*1.015</f>
        <v>23.142</v>
      </c>
      <c r="G201" s="4">
        <f>E201*F201</f>
        <v>0</v>
      </c>
      <c r="H201">
        <v>0.0004</v>
      </c>
      <c r="I201" s="4">
        <f>E201*H201</f>
        <v>0.0092568</v>
      </c>
    </row>
    <row r="203" spans="1:3" ht="12.75">
      <c r="A203" s="1" t="s">
        <v>38</v>
      </c>
      <c r="B203" s="6">
        <v>286136840</v>
      </c>
      <c r="C203" t="s">
        <v>195</v>
      </c>
    </row>
    <row r="204" spans="3:9" ht="12.75">
      <c r="C204" t="s">
        <v>196</v>
      </c>
      <c r="D204" s="1" t="s">
        <v>15</v>
      </c>
      <c r="E204" s="4">
        <f>51.2*1.015</f>
        <v>51.967999999999996</v>
      </c>
      <c r="G204" s="4">
        <f>E204*F204</f>
        <v>0</v>
      </c>
      <c r="H204">
        <v>0.0011</v>
      </c>
      <c r="I204" s="4">
        <f>E204*H204</f>
        <v>0.0571648</v>
      </c>
    </row>
    <row r="206" spans="1:3" ht="12.75">
      <c r="A206" s="1" t="s">
        <v>42</v>
      </c>
      <c r="B206" s="6">
        <v>286136850</v>
      </c>
      <c r="C206" t="s">
        <v>197</v>
      </c>
    </row>
    <row r="207" spans="3:9" ht="12.75">
      <c r="C207" t="s">
        <v>198</v>
      </c>
      <c r="D207" s="1" t="s">
        <v>15</v>
      </c>
      <c r="E207" s="4">
        <f>79.9*1.015</f>
        <v>81.0985</v>
      </c>
      <c r="G207" s="4">
        <f>E207*F207</f>
        <v>0</v>
      </c>
      <c r="H207">
        <v>0.0015</v>
      </c>
      <c r="I207" s="4">
        <f>E207*H207</f>
        <v>0.12164775</v>
      </c>
    </row>
    <row r="209" spans="1:3" ht="12.75">
      <c r="A209" s="1" t="s">
        <v>46</v>
      </c>
      <c r="B209" s="1" t="s">
        <v>199</v>
      </c>
      <c r="C209" t="s">
        <v>200</v>
      </c>
    </row>
    <row r="210" spans="3:7" ht="12.75">
      <c r="C210" t="s">
        <v>201</v>
      </c>
      <c r="D210" s="1" t="s">
        <v>202</v>
      </c>
      <c r="E210" s="4">
        <v>2</v>
      </c>
      <c r="G210" s="4">
        <f>E210*F210</f>
        <v>0</v>
      </c>
    </row>
    <row r="212" spans="1:3" ht="12.75">
      <c r="A212" s="1" t="s">
        <v>53</v>
      </c>
      <c r="C212" t="s">
        <v>203</v>
      </c>
    </row>
    <row r="213" spans="3:7" ht="12.75">
      <c r="C213" t="s">
        <v>205</v>
      </c>
      <c r="D213" s="1" t="s">
        <v>202</v>
      </c>
      <c r="E213" s="4">
        <f>1*1.015</f>
        <v>1.015</v>
      </c>
      <c r="G213" s="4">
        <f>E213*F213</f>
        <v>0</v>
      </c>
    </row>
    <row r="215" spans="1:3" ht="12.75">
      <c r="A215" s="1" t="s">
        <v>58</v>
      </c>
      <c r="C215" t="s">
        <v>204</v>
      </c>
    </row>
    <row r="216" spans="3:7" ht="12.75">
      <c r="C216" t="s">
        <v>205</v>
      </c>
      <c r="D216" s="1" t="s">
        <v>202</v>
      </c>
      <c r="E216" s="4">
        <f>1*1.015</f>
        <v>1.015</v>
      </c>
      <c r="G216" s="4">
        <f>E216*F216</f>
        <v>0</v>
      </c>
    </row>
    <row r="218" spans="1:3" ht="12.75">
      <c r="A218" s="1" t="s">
        <v>61</v>
      </c>
      <c r="B218" s="1" t="s">
        <v>206</v>
      </c>
      <c r="C218" t="s">
        <v>207</v>
      </c>
    </row>
    <row r="219" spans="3:9" ht="12.75">
      <c r="C219" t="s">
        <v>208</v>
      </c>
      <c r="D219" s="1" t="s">
        <v>202</v>
      </c>
      <c r="E219" s="4">
        <v>1</v>
      </c>
      <c r="G219" s="4">
        <f>E219*F219</f>
        <v>0</v>
      </c>
      <c r="H219">
        <v>0.0008</v>
      </c>
      <c r="I219" s="4">
        <f>E219*H219</f>
        <v>0.0008</v>
      </c>
    </row>
    <row r="220" ht="12.75">
      <c r="B220" s="1" t="s">
        <v>81</v>
      </c>
    </row>
    <row r="221" spans="1:3" ht="12.75">
      <c r="A221" s="1" t="s">
        <v>63</v>
      </c>
      <c r="B221" s="6">
        <v>552532190</v>
      </c>
      <c r="C221" t="s">
        <v>209</v>
      </c>
    </row>
    <row r="222" spans="3:9" ht="12.75">
      <c r="C222" t="s">
        <v>210</v>
      </c>
      <c r="D222" s="1" t="s">
        <v>202</v>
      </c>
      <c r="E222" s="4">
        <v>1.01</v>
      </c>
      <c r="G222" s="4">
        <f>E222*F222</f>
        <v>0</v>
      </c>
      <c r="H222">
        <v>0.0082</v>
      </c>
      <c r="I222" s="4">
        <f>E222*H222</f>
        <v>0.008282000000000001</v>
      </c>
    </row>
    <row r="224" spans="1:3" ht="12.75">
      <c r="A224" s="1" t="s">
        <v>68</v>
      </c>
      <c r="B224" s="1" t="s">
        <v>211</v>
      </c>
      <c r="C224" t="s">
        <v>212</v>
      </c>
    </row>
    <row r="225" spans="3:9" ht="12.75">
      <c r="C225" t="s">
        <v>213</v>
      </c>
      <c r="D225" s="1" t="s">
        <v>202</v>
      </c>
      <c r="E225" s="4">
        <v>1</v>
      </c>
      <c r="G225" s="4">
        <f>E225*F225</f>
        <v>0</v>
      </c>
      <c r="H225">
        <v>0.0008</v>
      </c>
      <c r="I225" s="4">
        <f>E225*H225</f>
        <v>0.0008</v>
      </c>
    </row>
    <row r="226" ht="12.75">
      <c r="B226" s="1" t="s">
        <v>81</v>
      </c>
    </row>
    <row r="227" spans="1:9" ht="12.75">
      <c r="A227" s="1" t="s">
        <v>74</v>
      </c>
      <c r="B227" s="6">
        <v>552540450</v>
      </c>
      <c r="C227" t="s">
        <v>214</v>
      </c>
      <c r="D227" s="1" t="s">
        <v>202</v>
      </c>
      <c r="E227" s="4">
        <v>1.01</v>
      </c>
      <c r="G227" s="4">
        <f>E227*F227</f>
        <v>0</v>
      </c>
      <c r="H227">
        <v>0.013</v>
      </c>
      <c r="I227" s="4">
        <f>E227*H227</f>
        <v>0.01313</v>
      </c>
    </row>
    <row r="229" spans="1:9" ht="12.75">
      <c r="A229" s="1" t="s">
        <v>78</v>
      </c>
      <c r="B229" s="1" t="s">
        <v>215</v>
      </c>
      <c r="C229" t="s">
        <v>216</v>
      </c>
      <c r="D229" s="1" t="s">
        <v>202</v>
      </c>
      <c r="E229" s="4">
        <v>1</v>
      </c>
      <c r="G229" s="4">
        <f>E229*F229</f>
        <v>0</v>
      </c>
      <c r="H229">
        <v>0.00076</v>
      </c>
      <c r="I229" s="4">
        <f>E229*H229</f>
        <v>0.00076</v>
      </c>
    </row>
    <row r="230" ht="12.75">
      <c r="B230" s="1" t="s">
        <v>81</v>
      </c>
    </row>
    <row r="231" spans="1:9" ht="12.75">
      <c r="A231" s="1" t="s">
        <v>82</v>
      </c>
      <c r="B231" s="6">
        <v>422214510</v>
      </c>
      <c r="C231" t="s">
        <v>217</v>
      </c>
      <c r="D231" s="1" t="s">
        <v>202</v>
      </c>
      <c r="E231" s="4">
        <v>1.01</v>
      </c>
      <c r="G231" s="4">
        <f>E231*F231</f>
        <v>0</v>
      </c>
      <c r="H231">
        <v>0.012</v>
      </c>
      <c r="I231" s="4">
        <f>E231*H231</f>
        <v>0.01212</v>
      </c>
    </row>
    <row r="233" spans="1:9" ht="12.75">
      <c r="A233" s="1" t="s">
        <v>84</v>
      </c>
      <c r="B233" s="6">
        <v>422910730</v>
      </c>
      <c r="C233" t="s">
        <v>218</v>
      </c>
      <c r="D233" s="1" t="s">
        <v>202</v>
      </c>
      <c r="E233" s="4">
        <v>1.01</v>
      </c>
      <c r="G233" s="4">
        <f>E233*F233</f>
        <v>0</v>
      </c>
      <c r="H233">
        <v>0.0035</v>
      </c>
      <c r="I233" s="4">
        <f>E233*H233</f>
        <v>0.003535</v>
      </c>
    </row>
    <row r="235" spans="1:3" ht="12.75">
      <c r="A235" s="1" t="s">
        <v>89</v>
      </c>
      <c r="B235" s="1" t="s">
        <v>219</v>
      </c>
      <c r="C235" t="s">
        <v>220</v>
      </c>
    </row>
    <row r="236" spans="3:7" ht="12.75">
      <c r="C236" t="s">
        <v>221</v>
      </c>
      <c r="D236" s="1" t="s">
        <v>202</v>
      </c>
      <c r="E236" s="4">
        <v>8</v>
      </c>
      <c r="G236" s="4">
        <f>E236*F236</f>
        <v>0</v>
      </c>
    </row>
    <row r="237" ht="12.75">
      <c r="B237" s="1" t="s">
        <v>81</v>
      </c>
    </row>
    <row r="238" spans="1:9" ht="12.75">
      <c r="A238" s="1" t="s">
        <v>95</v>
      </c>
      <c r="B238" s="6">
        <v>422735020</v>
      </c>
      <c r="C238" t="s">
        <v>222</v>
      </c>
      <c r="D238" s="1" t="s">
        <v>202</v>
      </c>
      <c r="E238" s="4">
        <v>8.08</v>
      </c>
      <c r="G238" s="4">
        <f>E238*F238</f>
        <v>0</v>
      </c>
      <c r="H238">
        <v>0.0047</v>
      </c>
      <c r="I238" s="4">
        <f>E238*H238</f>
        <v>0.037976</v>
      </c>
    </row>
    <row r="240" spans="1:9" ht="12.75">
      <c r="A240" s="1" t="s">
        <v>97</v>
      </c>
      <c r="B240" s="6">
        <v>422910560</v>
      </c>
      <c r="C240" t="s">
        <v>223</v>
      </c>
      <c r="D240" s="1" t="s">
        <v>202</v>
      </c>
      <c r="E240" s="4">
        <v>8.08</v>
      </c>
      <c r="G240" s="4">
        <f>E240*F240</f>
        <v>0</v>
      </c>
      <c r="H240">
        <v>0.0035</v>
      </c>
      <c r="I240" s="4">
        <f>E240*H240</f>
        <v>0.02828</v>
      </c>
    </row>
    <row r="242" spans="1:9" ht="12.75">
      <c r="A242" s="1" t="s">
        <v>101</v>
      </c>
      <c r="B242" s="1" t="s">
        <v>224</v>
      </c>
      <c r="C242" t="s">
        <v>225</v>
      </c>
      <c r="D242" s="1" t="s">
        <v>202</v>
      </c>
      <c r="E242" s="4">
        <v>8</v>
      </c>
      <c r="G242" s="4">
        <f>E242*F242</f>
        <v>0</v>
      </c>
      <c r="H242">
        <v>0.05982</v>
      </c>
      <c r="I242" s="4">
        <f>E242*H242</f>
        <v>0.47856</v>
      </c>
    </row>
    <row r="244" spans="1:9" ht="12.75">
      <c r="A244" s="1" t="s">
        <v>104</v>
      </c>
      <c r="B244" s="1" t="s">
        <v>226</v>
      </c>
      <c r="C244" t="s">
        <v>227</v>
      </c>
      <c r="D244" s="1" t="s">
        <v>202</v>
      </c>
      <c r="E244" s="4">
        <v>1</v>
      </c>
      <c r="G244" s="4">
        <f>E244*F244</f>
        <v>0</v>
      </c>
      <c r="H244">
        <v>0.115</v>
      </c>
      <c r="I244" s="4">
        <f>E244*H244</f>
        <v>0.115</v>
      </c>
    </row>
    <row r="245" ht="12.75">
      <c r="B245" s="1" t="s">
        <v>81</v>
      </c>
    </row>
    <row r="246" spans="1:9" ht="12.75">
      <c r="A246" s="1" t="s">
        <v>111</v>
      </c>
      <c r="B246" s="6">
        <v>422913520</v>
      </c>
      <c r="C246" t="s">
        <v>228</v>
      </c>
      <c r="D246" s="1" t="s">
        <v>202</v>
      </c>
      <c r="E246" s="4">
        <v>1</v>
      </c>
      <c r="G246" s="4">
        <f>E246*F246</f>
        <v>0</v>
      </c>
      <c r="H246">
        <v>0.0133</v>
      </c>
      <c r="I246" s="4">
        <f>E246*H246</f>
        <v>0.0133</v>
      </c>
    </row>
    <row r="248" spans="1:9" ht="12.75">
      <c r="A248" s="1" t="s">
        <v>113</v>
      </c>
      <c r="B248" s="6">
        <v>422914020</v>
      </c>
      <c r="C248" t="s">
        <v>229</v>
      </c>
      <c r="D248" s="1" t="s">
        <v>202</v>
      </c>
      <c r="E248" s="4">
        <v>8</v>
      </c>
      <c r="G248" s="4">
        <f>E248*F248</f>
        <v>0</v>
      </c>
      <c r="H248">
        <v>0.0073</v>
      </c>
      <c r="I248" s="4">
        <f>E248*H248</f>
        <v>0.0584</v>
      </c>
    </row>
    <row r="251" spans="1:3" ht="12.75">
      <c r="A251" s="1" t="s">
        <v>119</v>
      </c>
      <c r="C251" t="s">
        <v>230</v>
      </c>
    </row>
    <row r="252" spans="3:9" ht="12.75">
      <c r="C252" t="s">
        <v>231</v>
      </c>
      <c r="D252" s="1" t="s">
        <v>232</v>
      </c>
      <c r="E252" s="4">
        <v>1</v>
      </c>
      <c r="G252" s="8">
        <f>E252*F252</f>
        <v>0</v>
      </c>
      <c r="H252">
        <v>0.085</v>
      </c>
      <c r="I252" s="8">
        <f>E252*H252</f>
        <v>0.085</v>
      </c>
    </row>
    <row r="254" spans="1:9" ht="12.75">
      <c r="A254" s="1" t="s">
        <v>123</v>
      </c>
      <c r="B254" s="1" t="s">
        <v>233</v>
      </c>
      <c r="C254" t="s">
        <v>234</v>
      </c>
      <c r="D254" s="1" t="s">
        <v>202</v>
      </c>
      <c r="E254" s="4">
        <v>10</v>
      </c>
      <c r="G254" s="4">
        <f>E254*F254</f>
        <v>0</v>
      </c>
      <c r="H254">
        <v>0.00031</v>
      </c>
      <c r="I254" s="4">
        <f>E254*H254</f>
        <v>0.0031</v>
      </c>
    </row>
    <row r="256" spans="1:3" ht="12.75">
      <c r="A256" s="1" t="s">
        <v>130</v>
      </c>
      <c r="B256" s="1" t="s">
        <v>235</v>
      </c>
      <c r="C256" t="s">
        <v>236</v>
      </c>
    </row>
    <row r="257" spans="3:7" ht="12.75">
      <c r="C257" t="s">
        <v>244</v>
      </c>
      <c r="D257" s="1" t="s">
        <v>15</v>
      </c>
      <c r="E257" s="4">
        <f>51.2+79.9</f>
        <v>131.10000000000002</v>
      </c>
      <c r="G257" s="4">
        <f>E257*F257</f>
        <v>0</v>
      </c>
    </row>
    <row r="259" spans="1:3" ht="12.75">
      <c r="A259" s="1" t="s">
        <v>145</v>
      </c>
      <c r="B259" s="1" t="s">
        <v>237</v>
      </c>
      <c r="C259" t="s">
        <v>238</v>
      </c>
    </row>
    <row r="260" spans="3:9" ht="12.75">
      <c r="C260" t="s">
        <v>239</v>
      </c>
      <c r="D260" s="1" t="s">
        <v>202</v>
      </c>
      <c r="E260" s="4">
        <v>2</v>
      </c>
      <c r="G260" s="4">
        <f>E260*F260</f>
        <v>0</v>
      </c>
      <c r="H260">
        <v>0.46005</v>
      </c>
      <c r="I260" s="4">
        <f>E260*H260</f>
        <v>0.9201</v>
      </c>
    </row>
    <row r="262" spans="1:3" ht="12.75">
      <c r="A262" s="1" t="s">
        <v>147</v>
      </c>
      <c r="B262" s="1" t="s">
        <v>240</v>
      </c>
      <c r="C262" t="s">
        <v>241</v>
      </c>
    </row>
    <row r="263" spans="3:9" ht="12.75">
      <c r="C263" t="s">
        <v>245</v>
      </c>
      <c r="D263" s="1" t="s">
        <v>15</v>
      </c>
      <c r="E263" s="4">
        <f>51.2+79.9+22.8+1.8*9</f>
        <v>170.10000000000002</v>
      </c>
      <c r="G263" s="4">
        <f>E263*F263</f>
        <v>0</v>
      </c>
      <c r="H263">
        <v>0.00019</v>
      </c>
      <c r="I263" s="4">
        <f>E263*H263</f>
        <v>0.03231900000000001</v>
      </c>
    </row>
    <row r="265" spans="1:3" ht="12.75">
      <c r="A265" s="1" t="s">
        <v>151</v>
      </c>
      <c r="B265" s="1" t="s">
        <v>242</v>
      </c>
      <c r="C265" t="s">
        <v>243</v>
      </c>
    </row>
    <row r="266" spans="3:9" ht="13.5" thickBot="1">
      <c r="C266" t="s">
        <v>246</v>
      </c>
      <c r="D266" s="1" t="s">
        <v>15</v>
      </c>
      <c r="E266" s="4">
        <f>51.2+79.9+22.8</f>
        <v>153.90000000000003</v>
      </c>
      <c r="G266" s="9">
        <f>E266*F266</f>
        <v>0</v>
      </c>
      <c r="H266">
        <v>9E-05</v>
      </c>
      <c r="I266" s="9">
        <f>E266*H266</f>
        <v>0.013851000000000004</v>
      </c>
    </row>
    <row r="267" spans="3:9" ht="12.75">
      <c r="C267" s="10" t="s">
        <v>4</v>
      </c>
      <c r="G267" s="11">
        <f>SUM(G191:G266)</f>
        <v>0</v>
      </c>
      <c r="I267" s="4">
        <f>SUM(I192:I266)</f>
        <v>2.01338235</v>
      </c>
    </row>
    <row r="269" spans="2:3" ht="12.75">
      <c r="B269" s="1" t="s">
        <v>112</v>
      </c>
      <c r="C269" s="2" t="s">
        <v>247</v>
      </c>
    </row>
    <row r="271" spans="1:3" ht="12.75">
      <c r="A271" s="1" t="s">
        <v>11</v>
      </c>
      <c r="B271" s="1" t="s">
        <v>257</v>
      </c>
      <c r="C271" t="s">
        <v>258</v>
      </c>
    </row>
    <row r="272" spans="3:7" ht="12.75">
      <c r="C272" t="s">
        <v>259</v>
      </c>
      <c r="D272" s="1" t="s">
        <v>15</v>
      </c>
      <c r="E272" s="4">
        <f>15.5+1.5*2</f>
        <v>18.5</v>
      </c>
      <c r="G272" s="4">
        <f>E272*F272</f>
        <v>0</v>
      </c>
    </row>
    <row r="274" spans="1:3" ht="12.75">
      <c r="A274" s="1" t="s">
        <v>16</v>
      </c>
      <c r="B274" s="1" t="s">
        <v>248</v>
      </c>
      <c r="C274" t="s">
        <v>249</v>
      </c>
    </row>
    <row r="275" spans="3:7" ht="12.75">
      <c r="C275" t="s">
        <v>260</v>
      </c>
      <c r="D275" s="1" t="s">
        <v>77</v>
      </c>
      <c r="E275" s="4">
        <f>(0.24+0.181)*15.13+0.235*111.91</f>
        <v>32.66858</v>
      </c>
      <c r="G275" s="8">
        <f>E275*F275</f>
        <v>0</v>
      </c>
    </row>
    <row r="276" ht="12.75">
      <c r="G276" s="8"/>
    </row>
    <row r="277" spans="1:3" ht="12.75">
      <c r="A277" s="1" t="s">
        <v>21</v>
      </c>
      <c r="B277" s="1" t="s">
        <v>250</v>
      </c>
      <c r="C277" t="s">
        <v>251</v>
      </c>
    </row>
    <row r="278" spans="3:7" ht="12.75">
      <c r="C278" t="s">
        <v>261</v>
      </c>
      <c r="D278" s="1" t="s">
        <v>77</v>
      </c>
      <c r="E278" s="4">
        <f>32.69*14</f>
        <v>457.65999999999997</v>
      </c>
      <c r="G278" s="8">
        <f>E278*F278</f>
        <v>0</v>
      </c>
    </row>
    <row r="280" spans="1:3" ht="12.75">
      <c r="A280" s="1" t="s">
        <v>34</v>
      </c>
      <c r="B280" s="1" t="s">
        <v>252</v>
      </c>
      <c r="C280" t="s">
        <v>253</v>
      </c>
    </row>
    <row r="281" ht="12.75">
      <c r="C281" t="s">
        <v>254</v>
      </c>
    </row>
    <row r="282" spans="3:7" ht="12.75">
      <c r="C282" t="s">
        <v>262</v>
      </c>
      <c r="D282" s="1" t="s">
        <v>77</v>
      </c>
      <c r="E282" s="4">
        <f>0.181*15.13</f>
        <v>2.73853</v>
      </c>
      <c r="G282" s="4">
        <f>E282*F282</f>
        <v>0</v>
      </c>
    </row>
    <row r="283" spans="1:3" ht="12.75">
      <c r="A283" s="1" t="s">
        <v>38</v>
      </c>
      <c r="B283" s="1" t="s">
        <v>255</v>
      </c>
      <c r="C283" t="s">
        <v>256</v>
      </c>
    </row>
    <row r="284" spans="3:7" ht="13.5" thickBot="1">
      <c r="C284" t="s">
        <v>263</v>
      </c>
      <c r="D284" s="1" t="s">
        <v>77</v>
      </c>
      <c r="E284" s="4">
        <f>32.67-2.74</f>
        <v>29.93</v>
      </c>
      <c r="G284" s="9">
        <f>E284*F284</f>
        <v>0</v>
      </c>
    </row>
    <row r="285" spans="3:9" ht="12.75">
      <c r="C285" s="10" t="s">
        <v>4</v>
      </c>
      <c r="G285" s="11">
        <f>SUM(G272:G284)</f>
        <v>0</v>
      </c>
      <c r="I285"/>
    </row>
  </sheetData>
  <sheetProtection/>
  <printOptions/>
  <pageMargins left="0.7874015748031497" right="0.7874015748031497" top="0.984251968503937" bottom="0.984251968503937" header="0.5118110236220472" footer="0.5118110236220472"/>
  <pageSetup horizontalDpi="180" verticalDpi="180" orientation="landscape" paperSize="9" r:id="rId1"/>
  <headerFooter alignWithMargins="0"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06"/>
  <sheetViews>
    <sheetView zoomScalePageLayoutView="0" workbookViewId="0" topLeftCell="A1">
      <selection activeCell="C31" sqref="C31"/>
    </sheetView>
  </sheetViews>
  <sheetFormatPr defaultColWidth="9.00390625" defaultRowHeight="12.75"/>
  <cols>
    <col min="1" max="1" width="5.50390625" style="1" customWidth="1"/>
    <col min="2" max="2" width="11.50390625" style="1" customWidth="1"/>
    <col min="3" max="3" width="47.50390625" style="0" customWidth="1"/>
    <col min="4" max="4" width="4.50390625" style="1" customWidth="1"/>
    <col min="5" max="5" width="13.00390625" style="4" customWidth="1"/>
    <col min="6" max="6" width="10.875" style="4" customWidth="1"/>
    <col min="7" max="7" width="13.625" style="4" customWidth="1"/>
    <col min="8" max="8" width="10.125" style="0" customWidth="1"/>
    <col min="9" max="9" width="10.00390625" style="4" customWidth="1"/>
  </cols>
  <sheetData>
    <row r="1" ht="17.25">
      <c r="C1" s="12" t="s">
        <v>275</v>
      </c>
    </row>
    <row r="2" ht="17.25">
      <c r="C2" s="12" t="s">
        <v>276</v>
      </c>
    </row>
    <row r="4" ht="15">
      <c r="C4" s="13" t="s">
        <v>277</v>
      </c>
    </row>
    <row r="6" spans="3:9" ht="15">
      <c r="C6" s="13" t="s">
        <v>264</v>
      </c>
      <c r="I6" s="14"/>
    </row>
    <row r="7" spans="1:9" ht="12.75">
      <c r="A7" s="1" t="s">
        <v>11</v>
      </c>
      <c r="C7" s="15" t="s">
        <v>10</v>
      </c>
      <c r="G7" s="16">
        <f>G169</f>
        <v>0</v>
      </c>
      <c r="I7" s="16">
        <f>I169</f>
        <v>0.5014482600000001</v>
      </c>
    </row>
    <row r="8" spans="1:9" ht="12.75">
      <c r="A8" s="1" t="s">
        <v>16</v>
      </c>
      <c r="C8" s="15" t="s">
        <v>158</v>
      </c>
      <c r="G8" s="16">
        <f>G184</f>
        <v>0</v>
      </c>
      <c r="I8" s="16">
        <f>I184</f>
        <v>21.72486058</v>
      </c>
    </row>
    <row r="9" spans="1:9" ht="12.75">
      <c r="A9" s="1" t="s">
        <v>21</v>
      </c>
      <c r="C9" s="15" t="s">
        <v>169</v>
      </c>
      <c r="G9" s="16">
        <f>G212</f>
        <v>0</v>
      </c>
      <c r="I9" s="16">
        <f>I212</f>
        <v>66.9539493</v>
      </c>
    </row>
    <row r="10" spans="1:9" ht="12.75">
      <c r="A10" s="1" t="s">
        <v>34</v>
      </c>
      <c r="C10" s="15" t="s">
        <v>188</v>
      </c>
      <c r="G10" s="17">
        <f>G283</f>
        <v>0</v>
      </c>
      <c r="I10" s="17">
        <f>I283</f>
        <v>3.2257483000000002</v>
      </c>
    </row>
    <row r="11" spans="1:9" ht="13.5" thickBot="1">
      <c r="A11" s="1" t="s">
        <v>38</v>
      </c>
      <c r="C11" s="15" t="s">
        <v>247</v>
      </c>
      <c r="G11" s="18">
        <f>G306</f>
        <v>0</v>
      </c>
      <c r="I11" s="18"/>
    </row>
    <row r="12" spans="2:9" ht="12.75">
      <c r="B12" s="1" t="s">
        <v>157</v>
      </c>
      <c r="C12" s="15" t="s">
        <v>265</v>
      </c>
      <c r="G12" s="16">
        <f>SUM(G7:G11)</f>
        <v>0</v>
      </c>
      <c r="I12" s="16">
        <f>SUM(I7:I11)</f>
        <v>92.40600644000001</v>
      </c>
    </row>
    <row r="13" spans="1:9" ht="13.5" thickBot="1">
      <c r="A13" s="1" t="s">
        <v>42</v>
      </c>
      <c r="B13" s="1" t="s">
        <v>266</v>
      </c>
      <c r="C13" s="15" t="s">
        <v>267</v>
      </c>
      <c r="D13" s="1" t="s">
        <v>77</v>
      </c>
      <c r="E13" s="4">
        <f>I12</f>
        <v>92.40600644000001</v>
      </c>
      <c r="G13" s="18">
        <f>E13*F13</f>
        <v>0</v>
      </c>
      <c r="I13" s="14"/>
    </row>
    <row r="14" spans="3:9" ht="12.75">
      <c r="C14" s="19" t="s">
        <v>4</v>
      </c>
      <c r="G14" s="20">
        <f>SUM(G12:G13)</f>
        <v>0</v>
      </c>
      <c r="I14" s="14"/>
    </row>
    <row r="15" ht="12.75">
      <c r="I15" s="14"/>
    </row>
    <row r="16" spans="3:9" ht="15">
      <c r="C16" s="21" t="s">
        <v>268</v>
      </c>
      <c r="G16" s="16"/>
      <c r="I16" s="14"/>
    </row>
    <row r="17" spans="1:9" ht="12.75">
      <c r="A17" s="1" t="s">
        <v>11</v>
      </c>
      <c r="C17" t="s">
        <v>269</v>
      </c>
      <c r="D17" s="1" t="s">
        <v>270</v>
      </c>
      <c r="E17" s="4">
        <f>G14</f>
        <v>0</v>
      </c>
      <c r="F17" s="14"/>
      <c r="G17" s="16">
        <f>E17*F17</f>
        <v>0</v>
      </c>
      <c r="I17" s="14"/>
    </row>
    <row r="18" spans="1:9" ht="13.5" thickBot="1">
      <c r="A18" s="1" t="s">
        <v>16</v>
      </c>
      <c r="C18" t="s">
        <v>271</v>
      </c>
      <c r="D18" s="1" t="s">
        <v>270</v>
      </c>
      <c r="E18" s="4">
        <f>G14</f>
        <v>0</v>
      </c>
      <c r="F18" s="14"/>
      <c r="G18" s="18">
        <f>E18*F18</f>
        <v>0</v>
      </c>
      <c r="I18" s="14"/>
    </row>
    <row r="19" spans="3:9" ht="12.75">
      <c r="C19" s="19" t="s">
        <v>4</v>
      </c>
      <c r="G19" s="22">
        <f>SUM(G17:G18)</f>
        <v>0</v>
      </c>
      <c r="I19" s="14"/>
    </row>
    <row r="20" spans="7:9" ht="12.75">
      <c r="G20" s="16"/>
      <c r="I20" s="14"/>
    </row>
    <row r="21" spans="3:9" ht="15">
      <c r="C21" s="21" t="s">
        <v>4</v>
      </c>
      <c r="G21" s="22">
        <f>G14+G19</f>
        <v>0</v>
      </c>
      <c r="I21" s="14"/>
    </row>
    <row r="22" spans="3:9" ht="15">
      <c r="C22" s="21" t="s">
        <v>272</v>
      </c>
      <c r="D22" s="1" t="s">
        <v>270</v>
      </c>
      <c r="E22" s="4">
        <f>G21</f>
        <v>0</v>
      </c>
      <c r="G22" s="22">
        <f>E22*F22</f>
        <v>0</v>
      </c>
      <c r="I22" s="14"/>
    </row>
    <row r="23" spans="3:9" ht="15">
      <c r="C23" s="21" t="s">
        <v>273</v>
      </c>
      <c r="G23" s="22">
        <f>SUM(G21:G22)</f>
        <v>0</v>
      </c>
      <c r="I23" s="14"/>
    </row>
    <row r="35" spans="1:9" ht="12.75">
      <c r="A35" s="1" t="s">
        <v>0</v>
      </c>
      <c r="B35" s="1" t="s">
        <v>1</v>
      </c>
      <c r="C35" s="1" t="s">
        <v>2</v>
      </c>
      <c r="D35" s="1" t="s">
        <v>3</v>
      </c>
      <c r="E35" s="3" t="s">
        <v>8</v>
      </c>
      <c r="F35" s="3" t="s">
        <v>5</v>
      </c>
      <c r="G35" s="3" t="s">
        <v>4</v>
      </c>
      <c r="H35" s="1" t="s">
        <v>6</v>
      </c>
      <c r="I35" s="3" t="s">
        <v>7</v>
      </c>
    </row>
    <row r="37" spans="2:3" ht="12.75">
      <c r="B37" s="1" t="s">
        <v>9</v>
      </c>
      <c r="C37" s="2" t="s">
        <v>10</v>
      </c>
    </row>
    <row r="39" spans="1:3" ht="12.75">
      <c r="A39" s="1" t="s">
        <v>11</v>
      </c>
      <c r="B39" s="1" t="s">
        <v>12</v>
      </c>
      <c r="C39" t="s">
        <v>13</v>
      </c>
    </row>
    <row r="40" spans="3:9" ht="12.75">
      <c r="C40" t="s">
        <v>14</v>
      </c>
      <c r="D40" s="1" t="s">
        <v>15</v>
      </c>
      <c r="E40" s="4">
        <f>0.6*1</f>
        <v>0.6</v>
      </c>
      <c r="G40" s="4">
        <f>E40*F40</f>
        <v>0</v>
      </c>
      <c r="H40">
        <v>0.00868</v>
      </c>
      <c r="I40" s="4">
        <f>E40*H40</f>
        <v>0.005208</v>
      </c>
    </row>
    <row r="42" spans="1:3" ht="12.75">
      <c r="A42" s="1" t="s">
        <v>16</v>
      </c>
      <c r="B42" s="1" t="s">
        <v>292</v>
      </c>
      <c r="C42" t="s">
        <v>293</v>
      </c>
    </row>
    <row r="43" spans="3:9" ht="12.75">
      <c r="C43" t="s">
        <v>294</v>
      </c>
      <c r="D43" s="1" t="s">
        <v>15</v>
      </c>
      <c r="E43" s="4">
        <f>0.8*1</f>
        <v>0.8</v>
      </c>
      <c r="G43" s="4">
        <f>E43*F43</f>
        <v>0</v>
      </c>
      <c r="H43">
        <v>0.06053</v>
      </c>
      <c r="I43" s="4">
        <f>E43*H43</f>
        <v>0.048424</v>
      </c>
    </row>
    <row r="45" spans="1:3" ht="12.75">
      <c r="A45" s="1" t="s">
        <v>21</v>
      </c>
      <c r="B45" s="1" t="s">
        <v>17</v>
      </c>
      <c r="C45" t="s">
        <v>18</v>
      </c>
    </row>
    <row r="46" spans="3:7" ht="12.75">
      <c r="C46" t="s">
        <v>295</v>
      </c>
      <c r="D46" s="1" t="s">
        <v>20</v>
      </c>
      <c r="E46" s="4">
        <f>1.1*1.6*(0.6+0.8)</f>
        <v>2.464</v>
      </c>
      <c r="G46" s="4">
        <f>E46*F46</f>
        <v>0</v>
      </c>
    </row>
    <row r="48" spans="1:3" ht="12.75">
      <c r="A48" s="1" t="s">
        <v>34</v>
      </c>
      <c r="B48" s="1" t="s">
        <v>22</v>
      </c>
      <c r="C48" t="s">
        <v>23</v>
      </c>
    </row>
    <row r="49" ht="12.75">
      <c r="C49" t="s">
        <v>279</v>
      </c>
    </row>
    <row r="50" ht="12.75">
      <c r="C50" t="s">
        <v>278</v>
      </c>
    </row>
    <row r="51" spans="2:5" ht="12.75">
      <c r="B51" s="1" t="s">
        <v>281</v>
      </c>
      <c r="C51" t="s">
        <v>280</v>
      </c>
      <c r="D51" s="1" t="s">
        <v>20</v>
      </c>
      <c r="E51" s="4">
        <f>0.8*(1.69-0.25)*1.7</f>
        <v>1.9583999999999997</v>
      </c>
    </row>
    <row r="52" spans="2:5" ht="12.75">
      <c r="B52" s="1" t="s">
        <v>283</v>
      </c>
      <c r="C52" t="s">
        <v>282</v>
      </c>
      <c r="D52" s="1" t="s">
        <v>20</v>
      </c>
      <c r="E52" s="4">
        <f>0.8*(1.69-0.3)*1.2+0.6*(1.69-0.3)*15.5</f>
        <v>14.2614</v>
      </c>
    </row>
    <row r="53" spans="2:5" ht="12.75">
      <c r="B53" s="1" t="s">
        <v>291</v>
      </c>
      <c r="C53" t="s">
        <v>284</v>
      </c>
      <c r="D53" s="1" t="s">
        <v>20</v>
      </c>
      <c r="E53" s="4">
        <f>0.8*(1.69-0.2)*(141.7-1.7-1.2-131.1)</f>
        <v>9.17840000000002</v>
      </c>
    </row>
    <row r="54" spans="2:5" ht="12.75">
      <c r="B54" s="1" t="s">
        <v>291</v>
      </c>
      <c r="C54" t="s">
        <v>285</v>
      </c>
      <c r="D54" s="1" t="s">
        <v>20</v>
      </c>
      <c r="E54" s="4">
        <f>0.6*(1.69-0.2)*(131.1-15.5)</f>
        <v>103.3464</v>
      </c>
    </row>
    <row r="55" ht="12.75">
      <c r="C55" t="s">
        <v>288</v>
      </c>
    </row>
    <row r="56" ht="12.75">
      <c r="C56" t="s">
        <v>286</v>
      </c>
    </row>
    <row r="57" ht="12.75">
      <c r="C57" t="s">
        <v>287</v>
      </c>
    </row>
    <row r="58" spans="2:5" ht="12.75">
      <c r="B58" s="1" t="s">
        <v>30</v>
      </c>
      <c r="C58" t="s">
        <v>289</v>
      </c>
      <c r="D58" s="1" t="s">
        <v>20</v>
      </c>
      <c r="E58" s="4">
        <f>0.8*(1.54-0.3)*1.5+0.8*(1.54-0.2)*14.5</f>
        <v>17.032</v>
      </c>
    </row>
    <row r="59" spans="3:5" ht="12.75">
      <c r="C59" t="s">
        <v>290</v>
      </c>
      <c r="D59" s="1" t="s">
        <v>20</v>
      </c>
      <c r="E59" s="5">
        <f>0.8*1.54*(25.5-1.5-14.5)</f>
        <v>11.704000000000002</v>
      </c>
    </row>
    <row r="60" spans="4:5" ht="12.75">
      <c r="D60" s="1" t="s">
        <v>20</v>
      </c>
      <c r="E60" s="4">
        <f>SUM(E51:E59)</f>
        <v>157.48060000000004</v>
      </c>
    </row>
    <row r="61" spans="3:7" ht="12.75">
      <c r="C61" s="7" t="s">
        <v>298</v>
      </c>
      <c r="D61" s="1" t="s">
        <v>20</v>
      </c>
      <c r="E61" s="23">
        <f>157.48*0.7</f>
        <v>110.23599999999999</v>
      </c>
      <c r="G61" s="4">
        <f>E61*F61</f>
        <v>0</v>
      </c>
    </row>
    <row r="63" spans="1:3" ht="12.75">
      <c r="A63" s="1" t="s">
        <v>38</v>
      </c>
      <c r="B63" s="1" t="s">
        <v>35</v>
      </c>
      <c r="C63" t="s">
        <v>36</v>
      </c>
    </row>
    <row r="64" spans="3:7" ht="12.75">
      <c r="C64" t="s">
        <v>299</v>
      </c>
      <c r="D64" s="1" t="s">
        <v>20</v>
      </c>
      <c r="E64" s="4">
        <f>110.24*0.25</f>
        <v>27.56</v>
      </c>
      <c r="G64" s="4">
        <f>E64*F64</f>
        <v>0</v>
      </c>
    </row>
    <row r="66" spans="1:3" ht="12.75">
      <c r="A66" s="1" t="s">
        <v>42</v>
      </c>
      <c r="B66" s="1" t="s">
        <v>39</v>
      </c>
      <c r="C66" t="s">
        <v>40</v>
      </c>
    </row>
    <row r="67" spans="3:7" ht="12.75">
      <c r="C67" s="7" t="s">
        <v>296</v>
      </c>
      <c r="D67" s="1" t="s">
        <v>20</v>
      </c>
      <c r="E67" s="23">
        <f>157.48*0.2</f>
        <v>31.496</v>
      </c>
      <c r="G67" s="4">
        <f>E67*F67</f>
        <v>0</v>
      </c>
    </row>
    <row r="69" spans="1:3" ht="12.75">
      <c r="A69" s="1" t="s">
        <v>46</v>
      </c>
      <c r="B69" s="1" t="s">
        <v>43</v>
      </c>
      <c r="C69" t="s">
        <v>44</v>
      </c>
    </row>
    <row r="70" spans="3:7" ht="12.75">
      <c r="C70" t="s">
        <v>300</v>
      </c>
      <c r="D70" s="1" t="s">
        <v>20</v>
      </c>
      <c r="E70" s="4">
        <f>31.5*0.2</f>
        <v>6.300000000000001</v>
      </c>
      <c r="G70" s="4">
        <f>E70*F70</f>
        <v>0</v>
      </c>
    </row>
    <row r="71" spans="1:3" ht="12.75">
      <c r="A71" s="1" t="s">
        <v>53</v>
      </c>
      <c r="B71" s="1" t="s">
        <v>47</v>
      </c>
      <c r="C71" t="s">
        <v>48</v>
      </c>
    </row>
    <row r="72" spans="3:9" ht="12.75">
      <c r="C72" s="7" t="s">
        <v>297</v>
      </c>
      <c r="D72" s="1" t="s">
        <v>20</v>
      </c>
      <c r="E72" s="23">
        <f>157.48*0.1</f>
        <v>15.748</v>
      </c>
      <c r="G72" s="4">
        <f>E72*F72</f>
        <v>0</v>
      </c>
      <c r="H72">
        <v>0.01046</v>
      </c>
      <c r="I72" s="4">
        <f>E72*H72</f>
        <v>0.16472408</v>
      </c>
    </row>
    <row r="74" spans="1:3" ht="12.75">
      <c r="A74" s="1" t="s">
        <v>58</v>
      </c>
      <c r="B74" s="1" t="s">
        <v>50</v>
      </c>
      <c r="C74" t="s">
        <v>51</v>
      </c>
    </row>
    <row r="75" ht="12.75">
      <c r="C75" t="s">
        <v>301</v>
      </c>
    </row>
    <row r="76" spans="3:9" ht="12.75">
      <c r="C76" t="s">
        <v>302</v>
      </c>
      <c r="D76" s="1" t="s">
        <v>52</v>
      </c>
      <c r="E76" s="4">
        <f>1.69*131.1+1.69*(141.7-131.1)*2+1.54*25.5*2</f>
        <v>335.927</v>
      </c>
      <c r="G76" s="4">
        <f>E76*F76</f>
        <v>0</v>
      </c>
      <c r="H76">
        <v>0.00084</v>
      </c>
      <c r="I76" s="4">
        <f>E76*H76</f>
        <v>0.28217868</v>
      </c>
    </row>
    <row r="78" spans="1:7" ht="12.75">
      <c r="A78" s="1" t="s">
        <v>61</v>
      </c>
      <c r="B78" s="1" t="s">
        <v>56</v>
      </c>
      <c r="C78" t="s">
        <v>57</v>
      </c>
      <c r="D78" s="1" t="s">
        <v>52</v>
      </c>
      <c r="E78" s="4">
        <v>335.93</v>
      </c>
      <c r="G78" s="4">
        <f>E78*F78</f>
        <v>0</v>
      </c>
    </row>
    <row r="80" spans="1:3" ht="12.75">
      <c r="A80" s="1" t="s">
        <v>63</v>
      </c>
      <c r="B80" s="1" t="s">
        <v>59</v>
      </c>
      <c r="C80" t="s">
        <v>60</v>
      </c>
    </row>
    <row r="81" spans="3:7" ht="12.75">
      <c r="C81" t="s">
        <v>303</v>
      </c>
      <c r="D81" s="1" t="s">
        <v>20</v>
      </c>
      <c r="E81" s="4">
        <f>157.48*0.9</f>
        <v>141.732</v>
      </c>
      <c r="G81" s="4">
        <f>E81*F81</f>
        <v>0</v>
      </c>
    </row>
    <row r="83" spans="1:3" ht="12.75">
      <c r="A83" s="1" t="s">
        <v>68</v>
      </c>
      <c r="B83" s="1" t="s">
        <v>64</v>
      </c>
      <c r="C83" t="s">
        <v>65</v>
      </c>
    </row>
    <row r="84" spans="3:7" ht="12.75">
      <c r="C84" s="7" t="s">
        <v>297</v>
      </c>
      <c r="D84" s="1" t="s">
        <v>20</v>
      </c>
      <c r="E84" s="23">
        <f>157.48*0.1</f>
        <v>15.748</v>
      </c>
      <c r="G84" s="4">
        <f>E84*F84</f>
        <v>0</v>
      </c>
    </row>
    <row r="86" spans="1:3" ht="12.75">
      <c r="A86" s="1" t="s">
        <v>74</v>
      </c>
      <c r="B86" s="1" t="s">
        <v>66</v>
      </c>
      <c r="C86" t="s">
        <v>67</v>
      </c>
    </row>
    <row r="87" spans="3:5" ht="12.75">
      <c r="C87" t="s">
        <v>69</v>
      </c>
      <c r="D87" s="1" t="s">
        <v>20</v>
      </c>
      <c r="E87" s="4">
        <v>157.48</v>
      </c>
    </row>
    <row r="88" ht="12.75">
      <c r="C88" t="s">
        <v>70</v>
      </c>
    </row>
    <row r="89" spans="3:5" ht="12.75">
      <c r="C89" t="s">
        <v>306</v>
      </c>
      <c r="D89" s="1" t="s">
        <v>20</v>
      </c>
      <c r="E89" s="4">
        <f>0.6*0.49*131.1*-1+0.8*0.49*(141.7-131.1)*-1</f>
        <v>-42.6986</v>
      </c>
    </row>
    <row r="90" spans="3:5" ht="12.75">
      <c r="C90" t="s">
        <v>307</v>
      </c>
      <c r="D90" s="1" t="s">
        <v>20</v>
      </c>
      <c r="E90" s="5">
        <f>0.8*0.43*25.5*-1</f>
        <v>-8.772</v>
      </c>
    </row>
    <row r="91" spans="4:7" ht="12.75">
      <c r="D91" s="1" t="s">
        <v>20</v>
      </c>
      <c r="E91" s="4">
        <f>SUM(E87:E90)</f>
        <v>106.00939999999999</v>
      </c>
      <c r="G91" s="4">
        <f>E91*F91</f>
        <v>0</v>
      </c>
    </row>
    <row r="93" spans="1:3" ht="12.75">
      <c r="A93" s="1" t="s">
        <v>78</v>
      </c>
      <c r="B93" s="1" t="s">
        <v>72</v>
      </c>
      <c r="C93" t="s">
        <v>73</v>
      </c>
    </row>
    <row r="94" spans="3:7" ht="12.75">
      <c r="C94" t="s">
        <v>308</v>
      </c>
      <c r="D94" s="1" t="s">
        <v>20</v>
      </c>
      <c r="E94" s="4">
        <f>157.48-106.01</f>
        <v>51.469999999999985</v>
      </c>
      <c r="G94" s="4">
        <f>E94*F94</f>
        <v>0</v>
      </c>
    </row>
    <row r="96" spans="1:3" ht="12.75">
      <c r="A96" s="1" t="s">
        <v>82</v>
      </c>
      <c r="B96" s="1" t="s">
        <v>75</v>
      </c>
      <c r="C96" t="s">
        <v>76</v>
      </c>
    </row>
    <row r="97" spans="3:7" ht="12.75">
      <c r="C97" t="s">
        <v>309</v>
      </c>
      <c r="D97" s="1" t="s">
        <v>77</v>
      </c>
      <c r="E97" s="4">
        <f>51.47*1.8</f>
        <v>92.646</v>
      </c>
      <c r="G97" s="4">
        <f>E97*F97</f>
        <v>0</v>
      </c>
    </row>
    <row r="99" spans="1:3" ht="12.75">
      <c r="A99" s="1" t="s">
        <v>84</v>
      </c>
      <c r="B99" s="1" t="s">
        <v>79</v>
      </c>
      <c r="C99" t="s">
        <v>80</v>
      </c>
    </row>
    <row r="100" spans="3:5" ht="12.75">
      <c r="C100" t="s">
        <v>304</v>
      </c>
      <c r="D100" s="1" t="s">
        <v>20</v>
      </c>
      <c r="E100" s="4">
        <f>0.6*0.39*131.1+0.8*0.39*(141.7-131.1)</f>
        <v>33.98459999999999</v>
      </c>
    </row>
    <row r="101" spans="3:5" ht="12.75">
      <c r="C101" t="s">
        <v>305</v>
      </c>
      <c r="D101" s="1" t="s">
        <v>20</v>
      </c>
      <c r="E101" s="5">
        <f>0.8*0.33*25.5</f>
        <v>6.732</v>
      </c>
    </row>
    <row r="102" spans="4:7" ht="12.75">
      <c r="D102" s="1" t="s">
        <v>20</v>
      </c>
      <c r="E102" s="4">
        <f>SUM(E100:E101)</f>
        <v>40.71659999999999</v>
      </c>
      <c r="G102" s="4">
        <f>E102*F102</f>
        <v>0</v>
      </c>
    </row>
    <row r="103" ht="12.75">
      <c r="B103" s="1" t="s">
        <v>81</v>
      </c>
    </row>
    <row r="104" spans="1:3" ht="12.75">
      <c r="A104" s="1" t="s">
        <v>89</v>
      </c>
      <c r="B104" s="6">
        <v>583313450</v>
      </c>
      <c r="C104" t="s">
        <v>83</v>
      </c>
    </row>
    <row r="105" spans="3:7" ht="12.75">
      <c r="C105" t="s">
        <v>310</v>
      </c>
      <c r="D105" s="1" t="s">
        <v>77</v>
      </c>
      <c r="E105" s="4">
        <f>40.72*1.67*1.23</f>
        <v>83.642952</v>
      </c>
      <c r="G105" s="4">
        <f>E105*F105</f>
        <v>0</v>
      </c>
    </row>
    <row r="107" spans="1:3" ht="12.75">
      <c r="A107" s="1" t="s">
        <v>95</v>
      </c>
      <c r="B107" s="1" t="s">
        <v>90</v>
      </c>
      <c r="C107" s="7" t="s">
        <v>88</v>
      </c>
    </row>
    <row r="108" ht="12.75">
      <c r="C108" t="s">
        <v>91</v>
      </c>
    </row>
    <row r="109" spans="3:7" ht="12.75">
      <c r="C109" t="s">
        <v>311</v>
      </c>
      <c r="D109" s="1" t="s">
        <v>20</v>
      </c>
      <c r="E109" s="4">
        <f>106.01*2</f>
        <v>212.02</v>
      </c>
      <c r="G109" s="4">
        <f>E109*F109</f>
        <v>0</v>
      </c>
    </row>
    <row r="111" spans="1:7" ht="12.75">
      <c r="A111" s="1" t="s">
        <v>97</v>
      </c>
      <c r="B111" s="1" t="s">
        <v>93</v>
      </c>
      <c r="C111" t="s">
        <v>94</v>
      </c>
      <c r="G111" s="8"/>
    </row>
    <row r="112" spans="3:7" ht="12.75">
      <c r="C112" t="s">
        <v>312</v>
      </c>
      <c r="D112" s="1" t="s">
        <v>20</v>
      </c>
      <c r="E112" s="4">
        <f>51.47-15.75</f>
        <v>35.72</v>
      </c>
      <c r="G112" s="8">
        <f>E112*F112</f>
        <v>0</v>
      </c>
    </row>
    <row r="114" spans="1:3" ht="12.75">
      <c r="A114" s="1" t="s">
        <v>101</v>
      </c>
      <c r="B114" s="1" t="s">
        <v>98</v>
      </c>
      <c r="C114" t="s">
        <v>99</v>
      </c>
    </row>
    <row r="115" spans="3:7" ht="12.75">
      <c r="C115" t="s">
        <v>313</v>
      </c>
      <c r="D115" s="1" t="s">
        <v>20</v>
      </c>
      <c r="E115" s="4">
        <f>35.72*5</f>
        <v>178.6</v>
      </c>
      <c r="G115" s="8">
        <f>E115*F115</f>
        <v>0</v>
      </c>
    </row>
    <row r="117" spans="1:7" ht="12.75">
      <c r="A117" s="1" t="s">
        <v>104</v>
      </c>
      <c r="B117" s="1" t="s">
        <v>102</v>
      </c>
      <c r="C117" t="s">
        <v>103</v>
      </c>
      <c r="D117" s="1" t="s">
        <v>20</v>
      </c>
      <c r="E117" s="4">
        <v>15.75</v>
      </c>
      <c r="G117" s="8">
        <f>E117*F117</f>
        <v>0</v>
      </c>
    </row>
    <row r="119" spans="1:3" ht="12.75">
      <c r="A119" s="1" t="s">
        <v>111</v>
      </c>
      <c r="B119" s="1" t="s">
        <v>105</v>
      </c>
      <c r="C119" t="s">
        <v>106</v>
      </c>
    </row>
    <row r="120" spans="3:7" ht="12.75">
      <c r="C120" t="s">
        <v>314</v>
      </c>
      <c r="D120" s="1" t="s">
        <v>20</v>
      </c>
      <c r="E120" s="4">
        <f>15.75*5</f>
        <v>78.75</v>
      </c>
      <c r="G120" s="8">
        <f>E120*F120</f>
        <v>0</v>
      </c>
    </row>
    <row r="122" spans="1:3" ht="12.75">
      <c r="A122" s="1" t="s">
        <v>113</v>
      </c>
      <c r="B122" s="1" t="s">
        <v>315</v>
      </c>
      <c r="C122" t="s">
        <v>316</v>
      </c>
    </row>
    <row r="123" spans="3:7" ht="12.75">
      <c r="C123" t="s">
        <v>110</v>
      </c>
      <c r="D123" s="1" t="s">
        <v>20</v>
      </c>
      <c r="E123" s="4">
        <v>106.01</v>
      </c>
      <c r="G123" s="4">
        <f>E123*F123</f>
        <v>0</v>
      </c>
    </row>
    <row r="124" ht="12.75">
      <c r="B124" s="1" t="s">
        <v>112</v>
      </c>
    </row>
    <row r="125" spans="1:9" ht="12.75">
      <c r="A125" s="1" t="s">
        <v>119</v>
      </c>
      <c r="B125" s="1" t="s">
        <v>317</v>
      </c>
      <c r="C125" t="s">
        <v>318</v>
      </c>
      <c r="G125" s="8"/>
      <c r="I125" s="8"/>
    </row>
    <row r="126" spans="3:9" ht="12.75">
      <c r="C126" t="s">
        <v>319</v>
      </c>
      <c r="G126" s="8"/>
      <c r="I126" s="8"/>
    </row>
    <row r="127" spans="3:9" ht="12.75">
      <c r="C127" t="s">
        <v>320</v>
      </c>
      <c r="D127" s="1" t="s">
        <v>52</v>
      </c>
      <c r="E127" s="4">
        <f>1.3*1.7</f>
        <v>2.21</v>
      </c>
      <c r="G127" s="8">
        <f>E127*F127</f>
        <v>0</v>
      </c>
      <c r="I127" s="8"/>
    </row>
    <row r="129" spans="1:9" ht="12.75">
      <c r="A129" s="1" t="s">
        <v>130</v>
      </c>
      <c r="B129" s="1" t="s">
        <v>322</v>
      </c>
      <c r="C129" t="s">
        <v>323</v>
      </c>
      <c r="G129" s="8"/>
      <c r="I129" s="8"/>
    </row>
    <row r="130" spans="2:9" ht="12.75">
      <c r="B130" s="1">
        <v>0.235</v>
      </c>
      <c r="C130" t="s">
        <v>324</v>
      </c>
      <c r="G130" s="8"/>
      <c r="I130" s="8"/>
    </row>
    <row r="131" spans="3:9" ht="12.75">
      <c r="C131" t="s">
        <v>319</v>
      </c>
      <c r="D131" s="1" t="s">
        <v>52</v>
      </c>
      <c r="E131" s="4">
        <v>2.21</v>
      </c>
      <c r="G131" s="8">
        <f>E131*F131</f>
        <v>0</v>
      </c>
      <c r="I131" s="8"/>
    </row>
    <row r="133" spans="1:3" ht="12.75">
      <c r="A133" s="1" t="s">
        <v>130</v>
      </c>
      <c r="B133" s="1" t="s">
        <v>116</v>
      </c>
      <c r="C133" t="s">
        <v>114</v>
      </c>
    </row>
    <row r="134" spans="2:3" ht="12.75">
      <c r="B134" s="1">
        <v>0.24</v>
      </c>
      <c r="C134" t="s">
        <v>115</v>
      </c>
    </row>
    <row r="135" ht="12.75">
      <c r="C135" t="s">
        <v>118</v>
      </c>
    </row>
    <row r="136" spans="3:7" ht="12.75">
      <c r="C136" t="s">
        <v>321</v>
      </c>
      <c r="D136" s="1" t="s">
        <v>52</v>
      </c>
      <c r="E136" s="4">
        <f>1.3*1.2+0.85*15.5+1.3*1.5</f>
        <v>16.685</v>
      </c>
      <c r="G136" s="4">
        <f>E136*F136</f>
        <v>0</v>
      </c>
    </row>
    <row r="138" spans="1:3" ht="12.75">
      <c r="A138" s="1" t="s">
        <v>145</v>
      </c>
      <c r="B138" s="1" t="s">
        <v>120</v>
      </c>
      <c r="C138" t="s">
        <v>121</v>
      </c>
    </row>
    <row r="139" spans="2:3" ht="12.75">
      <c r="B139" s="1">
        <v>0.181</v>
      </c>
      <c r="C139" t="s">
        <v>122</v>
      </c>
    </row>
    <row r="140" spans="3:7" ht="12.75">
      <c r="C140" t="s">
        <v>118</v>
      </c>
      <c r="D140" s="1" t="s">
        <v>52</v>
      </c>
      <c r="E140" s="4">
        <v>16.69</v>
      </c>
      <c r="G140" s="4">
        <f>E140*F140</f>
        <v>0</v>
      </c>
    </row>
    <row r="143" spans="1:3" ht="12.75">
      <c r="A143" s="1" t="s">
        <v>147</v>
      </c>
      <c r="B143" s="1" t="s">
        <v>124</v>
      </c>
      <c r="C143" t="s">
        <v>125</v>
      </c>
    </row>
    <row r="144" spans="2:3" ht="12.75">
      <c r="B144" s="1">
        <v>0.235</v>
      </c>
      <c r="C144" t="s">
        <v>126</v>
      </c>
    </row>
    <row r="145" ht="12.75">
      <c r="C145" t="s">
        <v>127</v>
      </c>
    </row>
    <row r="146" spans="3:5" ht="12.75">
      <c r="C146" t="s">
        <v>325</v>
      </c>
      <c r="D146" s="1" t="s">
        <v>52</v>
      </c>
      <c r="E146" s="4">
        <f>1.3*(141.7-1.7-1.2-131.1+14.5)</f>
        <v>28.860000000000024</v>
      </c>
    </row>
    <row r="147" spans="3:5" ht="12.75">
      <c r="C147" t="s">
        <v>326</v>
      </c>
      <c r="D147" s="1" t="s">
        <v>52</v>
      </c>
      <c r="E147" s="5">
        <f>0.85*(131.1-15.5)</f>
        <v>98.25999999999999</v>
      </c>
    </row>
    <row r="148" spans="4:7" ht="12.75">
      <c r="D148" s="1" t="s">
        <v>52</v>
      </c>
      <c r="E148" s="4">
        <f>SUM(E146:E147)</f>
        <v>127.12000000000002</v>
      </c>
      <c r="G148" s="4">
        <f>E148*F148</f>
        <v>0</v>
      </c>
    </row>
    <row r="149" spans="2:7" ht="12.75">
      <c r="B149" s="1" t="s">
        <v>129</v>
      </c>
      <c r="G149" s="8"/>
    </row>
    <row r="150" spans="1:7" ht="12.75">
      <c r="A150" s="1" t="s">
        <v>151</v>
      </c>
      <c r="B150" s="1" t="s">
        <v>131</v>
      </c>
      <c r="C150" t="s">
        <v>132</v>
      </c>
      <c r="G150" s="8"/>
    </row>
    <row r="151" spans="3:7" ht="12.75">
      <c r="C151" t="s">
        <v>327</v>
      </c>
      <c r="D151" s="1" t="s">
        <v>52</v>
      </c>
      <c r="E151" s="4">
        <f>3*(25.5-1.5-14.5)</f>
        <v>28.5</v>
      </c>
      <c r="G151" s="8">
        <f>E151*F151</f>
        <v>0</v>
      </c>
    </row>
    <row r="152" ht="12.75">
      <c r="G152" s="8"/>
    </row>
    <row r="153" spans="1:3" ht="12.75">
      <c r="A153" s="1" t="s">
        <v>152</v>
      </c>
      <c r="C153" t="s">
        <v>133</v>
      </c>
    </row>
    <row r="154" spans="3:9" ht="12.75">
      <c r="C154" t="s">
        <v>328</v>
      </c>
      <c r="D154" s="1" t="s">
        <v>134</v>
      </c>
      <c r="E154" s="4">
        <f>0.29*3*1.05</f>
        <v>0.9134999999999999</v>
      </c>
      <c r="G154" s="8">
        <f>E154*F154</f>
        <v>0</v>
      </c>
      <c r="H154">
        <v>0.001</v>
      </c>
      <c r="I154" s="4">
        <f>E154*H154</f>
        <v>0.0009134999999999999</v>
      </c>
    </row>
    <row r="155" ht="12.75">
      <c r="G155" s="8"/>
    </row>
    <row r="156" spans="1:7" ht="12.75">
      <c r="A156" s="1" t="s">
        <v>153</v>
      </c>
      <c r="B156" s="1" t="s">
        <v>148</v>
      </c>
      <c r="C156" t="s">
        <v>149</v>
      </c>
      <c r="G156" s="8"/>
    </row>
    <row r="157" spans="3:7" ht="12.75">
      <c r="C157" t="s">
        <v>150</v>
      </c>
      <c r="D157" s="1" t="s">
        <v>52</v>
      </c>
      <c r="E157" s="4">
        <v>28.5</v>
      </c>
      <c r="G157" s="8">
        <f>E157*F157</f>
        <v>0</v>
      </c>
    </row>
    <row r="158" ht="12.75">
      <c r="G158" s="8"/>
    </row>
    <row r="159" spans="1:7" ht="12.75">
      <c r="A159" s="1" t="s">
        <v>154</v>
      </c>
      <c r="B159" s="1" t="s">
        <v>135</v>
      </c>
      <c r="C159" t="s">
        <v>136</v>
      </c>
      <c r="D159" s="1" t="s">
        <v>52</v>
      </c>
      <c r="E159" s="4">
        <v>28.5</v>
      </c>
      <c r="G159" s="8">
        <f>E159*F159</f>
        <v>0</v>
      </c>
    </row>
    <row r="160" ht="12.75">
      <c r="G160" s="8"/>
    </row>
    <row r="161" spans="1:7" ht="12.75">
      <c r="A161" s="1" t="s">
        <v>329</v>
      </c>
      <c r="B161" s="1" t="s">
        <v>137</v>
      </c>
      <c r="C161" t="s">
        <v>138</v>
      </c>
      <c r="D161" s="1" t="s">
        <v>20</v>
      </c>
      <c r="E161" s="4">
        <v>0.57</v>
      </c>
      <c r="G161" s="8">
        <f>E161*F161</f>
        <v>0</v>
      </c>
    </row>
    <row r="162" ht="12.75">
      <c r="G162" s="8"/>
    </row>
    <row r="163" spans="1:7" ht="12.75">
      <c r="A163" s="1" t="s">
        <v>330</v>
      </c>
      <c r="B163" s="1" t="s">
        <v>139</v>
      </c>
      <c r="C163" t="s">
        <v>140</v>
      </c>
      <c r="G163" s="8"/>
    </row>
    <row r="164" spans="3:7" ht="12.75">
      <c r="C164" t="s">
        <v>333</v>
      </c>
      <c r="D164" s="1" t="s">
        <v>20</v>
      </c>
      <c r="E164" s="4">
        <f>0.57*4</f>
        <v>2.28</v>
      </c>
      <c r="G164" s="8">
        <f>E164*F164</f>
        <v>0</v>
      </c>
    </row>
    <row r="165" spans="7:9" ht="12.75">
      <c r="G165" s="8"/>
      <c r="I165" s="8"/>
    </row>
    <row r="166" spans="1:3" ht="12.75">
      <c r="A166" s="1" t="s">
        <v>331</v>
      </c>
      <c r="B166" s="1" t="s">
        <v>141</v>
      </c>
      <c r="C166" t="s">
        <v>142</v>
      </c>
    </row>
    <row r="167" ht="12.75">
      <c r="C167" t="s">
        <v>143</v>
      </c>
    </row>
    <row r="168" spans="3:9" ht="13.5" thickBot="1">
      <c r="C168" t="s">
        <v>332</v>
      </c>
      <c r="D168" s="1" t="s">
        <v>20</v>
      </c>
      <c r="E168" s="4">
        <f>28.5*0.02</f>
        <v>0.5700000000000001</v>
      </c>
      <c r="G168" s="9">
        <f>E168*F168</f>
        <v>0</v>
      </c>
      <c r="I168" s="9"/>
    </row>
    <row r="169" spans="3:9" ht="12.75">
      <c r="C169" s="10" t="s">
        <v>4</v>
      </c>
      <c r="G169" s="11">
        <f>SUM(G39:G168)</f>
        <v>0</v>
      </c>
      <c r="I169" s="4">
        <f>SUM(I39:I168)</f>
        <v>0.5014482600000001</v>
      </c>
    </row>
    <row r="171" spans="2:3" ht="12.75">
      <c r="B171" s="1" t="s">
        <v>157</v>
      </c>
      <c r="C171" s="2" t="s">
        <v>158</v>
      </c>
    </row>
    <row r="173" spans="1:3" ht="12.75">
      <c r="A173" s="1" t="s">
        <v>11</v>
      </c>
      <c r="B173" s="1" t="s">
        <v>159</v>
      </c>
      <c r="C173" t="s">
        <v>160</v>
      </c>
    </row>
    <row r="174" spans="3:5" ht="12.75">
      <c r="C174" t="s">
        <v>334</v>
      </c>
      <c r="D174" s="1" t="s">
        <v>20</v>
      </c>
      <c r="E174" s="4">
        <f>0.6*0.1*131.1+0.8*0.1*(141.7-131.1)</f>
        <v>8.713999999999999</v>
      </c>
    </row>
    <row r="175" spans="3:5" ht="12.75">
      <c r="C175" t="s">
        <v>335</v>
      </c>
      <c r="D175" s="1" t="s">
        <v>20</v>
      </c>
      <c r="E175" s="5">
        <f>0.8*0.1*25.5</f>
        <v>2.0400000000000005</v>
      </c>
    </row>
    <row r="176" spans="4:9" ht="12.75">
      <c r="D176" s="1" t="s">
        <v>20</v>
      </c>
      <c r="E176" s="4">
        <f>SUM(E174:E175)</f>
        <v>10.754</v>
      </c>
      <c r="G176" s="8">
        <f>E176*F176</f>
        <v>0</v>
      </c>
      <c r="H176">
        <v>1.89077</v>
      </c>
      <c r="I176" s="8">
        <f>E176*H176</f>
        <v>20.33334058</v>
      </c>
    </row>
    <row r="179" spans="1:3" ht="12.75">
      <c r="A179" s="1" t="s">
        <v>16</v>
      </c>
      <c r="B179" s="1" t="s">
        <v>162</v>
      </c>
      <c r="C179" t="s">
        <v>163</v>
      </c>
    </row>
    <row r="180" spans="3:9" ht="12.75">
      <c r="C180" t="s">
        <v>336</v>
      </c>
      <c r="D180" s="1" t="s">
        <v>20</v>
      </c>
      <c r="E180" s="4">
        <f>0.15*4</f>
        <v>0.6</v>
      </c>
      <c r="G180" s="4">
        <f>E180*F180</f>
        <v>0</v>
      </c>
      <c r="H180">
        <v>2.234</v>
      </c>
      <c r="I180" s="4">
        <f>E180*H180</f>
        <v>1.3404</v>
      </c>
    </row>
    <row r="181" spans="7:9" ht="12.75">
      <c r="G181" s="8"/>
      <c r="I181" s="8"/>
    </row>
    <row r="182" spans="1:3" ht="12.75">
      <c r="A182" s="1" t="s">
        <v>21</v>
      </c>
      <c r="B182" s="1" t="s">
        <v>165</v>
      </c>
      <c r="C182" t="s">
        <v>166</v>
      </c>
    </row>
    <row r="183" spans="3:9" ht="13.5" thickBot="1">
      <c r="C183" t="s">
        <v>337</v>
      </c>
      <c r="D183" s="1" t="s">
        <v>52</v>
      </c>
      <c r="E183" s="4">
        <f>2*4</f>
        <v>8</v>
      </c>
      <c r="G183" s="9">
        <f>E183*F183</f>
        <v>0</v>
      </c>
      <c r="H183">
        <v>0.00639</v>
      </c>
      <c r="I183" s="9">
        <f>E183*H183</f>
        <v>0.05112</v>
      </c>
    </row>
    <row r="184" spans="3:9" ht="12.75">
      <c r="C184" s="10" t="s">
        <v>4</v>
      </c>
      <c r="G184" s="11">
        <f>SUM(G176:G183)</f>
        <v>0</v>
      </c>
      <c r="I184" s="4">
        <f>SUM(I176:I183)</f>
        <v>21.72486058</v>
      </c>
    </row>
    <row r="186" spans="2:3" ht="12.75">
      <c r="B186" s="1" t="s">
        <v>112</v>
      </c>
      <c r="C186" s="2" t="s">
        <v>169</v>
      </c>
    </row>
    <row r="188" spans="1:3" ht="12.75">
      <c r="A188" s="1" t="s">
        <v>11</v>
      </c>
      <c r="B188" s="1" t="s">
        <v>170</v>
      </c>
      <c r="C188" t="s">
        <v>171</v>
      </c>
    </row>
    <row r="189" ht="12.75">
      <c r="C189" t="s">
        <v>172</v>
      </c>
    </row>
    <row r="190" spans="3:7" ht="12.75">
      <c r="C190" t="s">
        <v>118</v>
      </c>
      <c r="D190" s="1" t="s">
        <v>52</v>
      </c>
      <c r="E190" s="4">
        <v>16.69</v>
      </c>
      <c r="G190" s="8">
        <f>E190*F190</f>
        <v>0</v>
      </c>
    </row>
    <row r="191" ht="12.75">
      <c r="B191" s="1" t="s">
        <v>81</v>
      </c>
    </row>
    <row r="192" spans="1:3" ht="12.75">
      <c r="A192" s="1" t="s">
        <v>16</v>
      </c>
      <c r="B192" s="6">
        <v>583312010</v>
      </c>
      <c r="C192" t="s">
        <v>173</v>
      </c>
    </row>
    <row r="193" spans="3:7" ht="12.75">
      <c r="C193" t="s">
        <v>338</v>
      </c>
      <c r="D193" s="1" t="s">
        <v>77</v>
      </c>
      <c r="E193" s="4">
        <f>16.69*0.2*1.67*1.23</f>
        <v>6.8565858</v>
      </c>
      <c r="G193" s="8">
        <f>E193*F193</f>
        <v>0</v>
      </c>
    </row>
    <row r="195" spans="1:3" ht="12.75">
      <c r="A195" s="1" t="s">
        <v>21</v>
      </c>
      <c r="B195" s="6">
        <v>585211130</v>
      </c>
      <c r="C195" t="s">
        <v>175</v>
      </c>
    </row>
    <row r="196" spans="3:7" ht="12.75">
      <c r="C196" t="s">
        <v>339</v>
      </c>
      <c r="D196" s="1" t="s">
        <v>77</v>
      </c>
      <c r="E196" s="4">
        <f>16.69*0.2*0.0884</f>
        <v>0.29507920000000004</v>
      </c>
      <c r="G196" s="8">
        <f>E196*F196</f>
        <v>0</v>
      </c>
    </row>
    <row r="198" spans="1:3" ht="12.75">
      <c r="A198" s="1" t="s">
        <v>34</v>
      </c>
      <c r="B198" s="1" t="s">
        <v>177</v>
      </c>
      <c r="C198" t="s">
        <v>178</v>
      </c>
    </row>
    <row r="199" spans="3:9" ht="12.75">
      <c r="C199" t="s">
        <v>127</v>
      </c>
      <c r="D199" s="1" t="s">
        <v>52</v>
      </c>
      <c r="E199" s="4">
        <v>127.12</v>
      </c>
      <c r="G199" s="8">
        <f>E199*F199</f>
        <v>0</v>
      </c>
      <c r="H199">
        <v>0.48574</v>
      </c>
      <c r="I199" s="4">
        <f>E199*H199</f>
        <v>61.7472688</v>
      </c>
    </row>
    <row r="200" ht="12.75">
      <c r="G200" s="8"/>
    </row>
    <row r="201" spans="1:3" ht="12.75">
      <c r="A201" s="1" t="s">
        <v>38</v>
      </c>
      <c r="B201" s="1" t="s">
        <v>340</v>
      </c>
      <c r="C201" t="s">
        <v>341</v>
      </c>
    </row>
    <row r="202" spans="3:9" ht="12.75">
      <c r="C202" t="s">
        <v>319</v>
      </c>
      <c r="D202" s="1" t="s">
        <v>52</v>
      </c>
      <c r="E202" s="4">
        <v>2.21</v>
      </c>
      <c r="G202" s="8">
        <f>E202*F202</f>
        <v>0</v>
      </c>
      <c r="H202">
        <v>0.27994</v>
      </c>
      <c r="I202" s="8">
        <f>E202*H202</f>
        <v>0.6186674000000001</v>
      </c>
    </row>
    <row r="203" ht="12.75">
      <c r="G203" s="8"/>
    </row>
    <row r="204" spans="1:3" ht="12.75">
      <c r="A204" s="1" t="s">
        <v>42</v>
      </c>
      <c r="B204" s="1" t="s">
        <v>179</v>
      </c>
      <c r="C204" t="s">
        <v>180</v>
      </c>
    </row>
    <row r="205" spans="3:9" ht="12.75">
      <c r="C205" t="s">
        <v>181</v>
      </c>
      <c r="D205" s="1" t="s">
        <v>52</v>
      </c>
      <c r="E205" s="4">
        <v>16.69</v>
      </c>
      <c r="G205" s="8">
        <f>E205*F205</f>
        <v>0</v>
      </c>
      <c r="H205">
        <v>0.10548</v>
      </c>
      <c r="I205" s="4">
        <f>E205*H205</f>
        <v>1.7604612000000002</v>
      </c>
    </row>
    <row r="207" spans="1:9" ht="12.75">
      <c r="A207" s="1" t="s">
        <v>46</v>
      </c>
      <c r="B207" s="1" t="s">
        <v>182</v>
      </c>
      <c r="C207" t="s">
        <v>183</v>
      </c>
      <c r="D207" s="1" t="s">
        <v>52</v>
      </c>
      <c r="E207" s="4">
        <v>16.69</v>
      </c>
      <c r="G207" s="8">
        <f>E207*F207</f>
        <v>0</v>
      </c>
      <c r="H207">
        <v>0.15826</v>
      </c>
      <c r="I207" s="8">
        <f>E207*H207</f>
        <v>2.6413594000000002</v>
      </c>
    </row>
    <row r="208" spans="7:9" ht="12.75">
      <c r="G208" s="8"/>
      <c r="I208" s="8"/>
    </row>
    <row r="209" spans="1:9" ht="12.75">
      <c r="A209" s="1" t="s">
        <v>53</v>
      </c>
      <c r="B209" s="1" t="s">
        <v>342</v>
      </c>
      <c r="C209" t="s">
        <v>343</v>
      </c>
      <c r="E209" s="23"/>
      <c r="G209" s="8"/>
      <c r="I209" s="8"/>
    </row>
    <row r="210" spans="3:9" ht="12.75">
      <c r="C210" t="s">
        <v>344</v>
      </c>
      <c r="E210" s="23"/>
      <c r="G210" s="8"/>
      <c r="I210" s="8"/>
    </row>
    <row r="211" spans="3:9" ht="13.5" thickBot="1">
      <c r="C211" t="s">
        <v>345</v>
      </c>
      <c r="D211" s="1" t="s">
        <v>52</v>
      </c>
      <c r="E211" s="23">
        <v>2.21</v>
      </c>
      <c r="G211" s="9">
        <f>E211*F211</f>
        <v>0</v>
      </c>
      <c r="H211">
        <v>0.08425</v>
      </c>
      <c r="I211" s="9">
        <f>E211*H211</f>
        <v>0.1861925</v>
      </c>
    </row>
    <row r="212" spans="3:9" ht="12.75">
      <c r="C212" s="10" t="s">
        <v>4</v>
      </c>
      <c r="G212" s="11">
        <f>SUM(G188:G211)</f>
        <v>0</v>
      </c>
      <c r="I212" s="4">
        <f>SUM(I189:I211)</f>
        <v>66.9539493</v>
      </c>
    </row>
    <row r="215" spans="2:3" ht="12.75">
      <c r="B215" s="1" t="s">
        <v>157</v>
      </c>
      <c r="C215" s="2" t="s">
        <v>188</v>
      </c>
    </row>
    <row r="217" spans="1:3" ht="12.75">
      <c r="A217" s="1" t="s">
        <v>11</v>
      </c>
      <c r="B217" s="1" t="s">
        <v>346</v>
      </c>
      <c r="C217" s="7" t="s">
        <v>185</v>
      </c>
    </row>
    <row r="218" spans="3:7" ht="12.75">
      <c r="C218" t="s">
        <v>347</v>
      </c>
      <c r="D218" s="1" t="s">
        <v>15</v>
      </c>
      <c r="E218" s="4">
        <v>25.5</v>
      </c>
      <c r="G218" s="4">
        <f>E218*F218</f>
        <v>0</v>
      </c>
    </row>
    <row r="220" spans="1:3" ht="12.75">
      <c r="A220" s="1" t="s">
        <v>16</v>
      </c>
      <c r="B220" s="1" t="s">
        <v>348</v>
      </c>
      <c r="C220" s="7" t="s">
        <v>185</v>
      </c>
    </row>
    <row r="221" spans="3:7" ht="12.75">
      <c r="C221" t="s">
        <v>349</v>
      </c>
      <c r="D221" s="1" t="s">
        <v>15</v>
      </c>
      <c r="E221" s="4">
        <v>141.7</v>
      </c>
      <c r="G221" s="4">
        <f>E221*F221</f>
        <v>0</v>
      </c>
    </row>
    <row r="222" ht="12.75">
      <c r="B222" s="1" t="s">
        <v>81</v>
      </c>
    </row>
    <row r="223" spans="1:3" ht="12.75">
      <c r="A223" s="1" t="s">
        <v>21</v>
      </c>
      <c r="B223" s="6">
        <v>286131100</v>
      </c>
      <c r="C223" t="s">
        <v>350</v>
      </c>
    </row>
    <row r="224" spans="3:9" ht="12.75">
      <c r="C224" t="s">
        <v>351</v>
      </c>
      <c r="D224" s="1" t="s">
        <v>15</v>
      </c>
      <c r="E224" s="4">
        <f>25.5*1.015</f>
        <v>25.882499999999997</v>
      </c>
      <c r="G224" s="4">
        <f>E224*F224</f>
        <v>0</v>
      </c>
      <c r="H224">
        <v>0.0003</v>
      </c>
      <c r="I224" s="4">
        <f>E224*H224</f>
        <v>0.007764749999999998</v>
      </c>
    </row>
    <row r="226" spans="1:3" ht="12.75">
      <c r="A226" s="1" t="s">
        <v>34</v>
      </c>
      <c r="B226" s="6">
        <v>286131150</v>
      </c>
      <c r="C226" t="s">
        <v>352</v>
      </c>
    </row>
    <row r="227" spans="3:9" ht="12.75">
      <c r="C227" t="s">
        <v>353</v>
      </c>
      <c r="D227" s="1" t="s">
        <v>15</v>
      </c>
      <c r="E227" s="4">
        <f>141.7*1.015</f>
        <v>143.82549999999998</v>
      </c>
      <c r="G227" s="4">
        <f>E227*F227</f>
        <v>0</v>
      </c>
      <c r="H227">
        <v>0.0021</v>
      </c>
      <c r="I227" s="4">
        <f>E227*H227</f>
        <v>0.30203354999999993</v>
      </c>
    </row>
    <row r="229" spans="1:3" ht="12.75">
      <c r="A229" s="1" t="s">
        <v>38</v>
      </c>
      <c r="B229" s="6"/>
      <c r="C229" t="s">
        <v>355</v>
      </c>
    </row>
    <row r="230" spans="3:9" ht="12.75">
      <c r="C230" t="s">
        <v>354</v>
      </c>
      <c r="D230" s="1" t="s">
        <v>232</v>
      </c>
      <c r="E230" s="4">
        <v>1</v>
      </c>
      <c r="G230" s="4">
        <f>E230*F230</f>
        <v>0</v>
      </c>
      <c r="H230">
        <v>0.095</v>
      </c>
      <c r="I230" s="4">
        <f>E230*H230</f>
        <v>0.095</v>
      </c>
    </row>
    <row r="232" spans="1:3" ht="12.75">
      <c r="A232" s="1" t="s">
        <v>42</v>
      </c>
      <c r="B232" s="6"/>
      <c r="C232" t="s">
        <v>356</v>
      </c>
    </row>
    <row r="233" spans="3:9" ht="12.75">
      <c r="C233" t="s">
        <v>357</v>
      </c>
      <c r="D233" s="1" t="s">
        <v>232</v>
      </c>
      <c r="E233" s="4">
        <v>1</v>
      </c>
      <c r="G233" s="4">
        <f>E233*F233</f>
        <v>0</v>
      </c>
      <c r="H233">
        <v>0.038</v>
      </c>
      <c r="I233" s="4">
        <f>E233*H233</f>
        <v>0.038</v>
      </c>
    </row>
    <row r="235" spans="1:9" ht="12.75">
      <c r="A235" s="1" t="s">
        <v>46</v>
      </c>
      <c r="B235" s="1" t="s">
        <v>358</v>
      </c>
      <c r="C235" s="7" t="s">
        <v>359</v>
      </c>
      <c r="D235" s="1" t="s">
        <v>202</v>
      </c>
      <c r="E235" s="4">
        <v>1</v>
      </c>
      <c r="G235" s="4">
        <f>E235*F235</f>
        <v>0</v>
      </c>
      <c r="H235">
        <v>0.0008</v>
      </c>
      <c r="I235" s="4">
        <f>E235*H235</f>
        <v>0.0008</v>
      </c>
    </row>
    <row r="237" spans="1:9" ht="12.75">
      <c r="A237" s="1" t="s">
        <v>53</v>
      </c>
      <c r="B237" s="1" t="s">
        <v>360</v>
      </c>
      <c r="C237" t="s">
        <v>361</v>
      </c>
      <c r="D237" s="1" t="s">
        <v>202</v>
      </c>
      <c r="E237" s="4">
        <v>2</v>
      </c>
      <c r="G237" s="4">
        <f>E237*F237</f>
        <v>0</v>
      </c>
      <c r="H237">
        <v>0.00163</v>
      </c>
      <c r="I237" s="4">
        <f>E237*H237</f>
        <v>0.00326</v>
      </c>
    </row>
    <row r="238" ht="12.75">
      <c r="B238" s="1" t="s">
        <v>81</v>
      </c>
    </row>
    <row r="239" spans="1:9" ht="12.75">
      <c r="A239" s="1" t="s">
        <v>58</v>
      </c>
      <c r="B239" s="6">
        <v>422243970</v>
      </c>
      <c r="C239" t="s">
        <v>362</v>
      </c>
      <c r="D239" s="1" t="s">
        <v>202</v>
      </c>
      <c r="E239" s="4">
        <v>1.01</v>
      </c>
      <c r="G239" s="4">
        <f>E239*F239</f>
        <v>0</v>
      </c>
      <c r="H239">
        <v>0.0151</v>
      </c>
      <c r="I239" s="4">
        <f>E239*H239</f>
        <v>0.015251</v>
      </c>
    </row>
    <row r="240" ht="12.75">
      <c r="B240" s="6"/>
    </row>
    <row r="241" spans="1:9" ht="12.75">
      <c r="A241" s="1" t="s">
        <v>61</v>
      </c>
      <c r="B241" s="6">
        <v>422244000</v>
      </c>
      <c r="C241" t="s">
        <v>363</v>
      </c>
      <c r="D241" s="1" t="s">
        <v>202</v>
      </c>
      <c r="E241" s="4">
        <v>2.02</v>
      </c>
      <c r="G241" s="4">
        <f>E241*F241</f>
        <v>0</v>
      </c>
      <c r="H241">
        <v>0.0179</v>
      </c>
      <c r="I241" s="4">
        <f>E241*H241</f>
        <v>0.036157999999999996</v>
      </c>
    </row>
    <row r="243" spans="1:9" ht="12.75">
      <c r="A243" s="1" t="s">
        <v>63</v>
      </c>
      <c r="B243" s="6">
        <v>422910730</v>
      </c>
      <c r="C243" t="s">
        <v>218</v>
      </c>
      <c r="D243" s="1" t="s">
        <v>202</v>
      </c>
      <c r="E243" s="4">
        <v>1.01</v>
      </c>
      <c r="G243" s="4">
        <f>E243*F243</f>
        <v>0</v>
      </c>
      <c r="H243">
        <v>0.0035</v>
      </c>
      <c r="I243" s="4">
        <f>E243*H243</f>
        <v>0.003535</v>
      </c>
    </row>
    <row r="245" spans="1:9" ht="12.75">
      <c r="A245" s="1" t="s">
        <v>68</v>
      </c>
      <c r="B245" s="6">
        <v>422910740</v>
      </c>
      <c r="C245" t="s">
        <v>364</v>
      </c>
      <c r="D245" s="1" t="s">
        <v>202</v>
      </c>
      <c r="E245" s="4">
        <v>2.02</v>
      </c>
      <c r="G245" s="4">
        <f>E245*F245</f>
        <v>0</v>
      </c>
      <c r="H245">
        <v>0.004</v>
      </c>
      <c r="I245" s="4">
        <f>E245*H245</f>
        <v>0.00808</v>
      </c>
    </row>
    <row r="247" spans="1:9" ht="12.75">
      <c r="A247" s="1" t="s">
        <v>74</v>
      </c>
      <c r="B247" s="1" t="s">
        <v>365</v>
      </c>
      <c r="C247" t="s">
        <v>366</v>
      </c>
      <c r="D247" s="1" t="s">
        <v>202</v>
      </c>
      <c r="E247" s="4">
        <v>2</v>
      </c>
      <c r="G247" s="4">
        <f>E247*F247</f>
        <v>0</v>
      </c>
      <c r="H247">
        <v>0.00035</v>
      </c>
      <c r="I247" s="4">
        <f>E247*H247</f>
        <v>0.0007</v>
      </c>
    </row>
    <row r="248" ht="12.75">
      <c r="B248" s="1" t="s">
        <v>81</v>
      </c>
    </row>
    <row r="249" spans="1:9" ht="12.75">
      <c r="A249" s="1" t="s">
        <v>78</v>
      </c>
      <c r="B249" s="6">
        <v>422735890</v>
      </c>
      <c r="C249" t="s">
        <v>367</v>
      </c>
      <c r="D249" s="1" t="s">
        <v>202</v>
      </c>
      <c r="E249" s="4">
        <v>2.02</v>
      </c>
      <c r="G249" s="4">
        <f>E249*F249</f>
        <v>0</v>
      </c>
      <c r="H249">
        <v>0.0325</v>
      </c>
      <c r="I249" s="4">
        <f>E249*H249</f>
        <v>0.06565</v>
      </c>
    </row>
    <row r="251" spans="1:7" ht="12.75">
      <c r="A251" s="1" t="s">
        <v>82</v>
      </c>
      <c r="B251" s="1" t="s">
        <v>219</v>
      </c>
      <c r="C251" t="s">
        <v>220</v>
      </c>
      <c r="D251" s="1" t="s">
        <v>202</v>
      </c>
      <c r="E251" s="4">
        <v>8</v>
      </c>
      <c r="G251" s="4">
        <f>E251*F251</f>
        <v>0</v>
      </c>
    </row>
    <row r="252" ht="12.75">
      <c r="B252" s="1" t="s">
        <v>81</v>
      </c>
    </row>
    <row r="253" spans="1:9" ht="12.75">
      <c r="A253" s="1" t="s">
        <v>84</v>
      </c>
      <c r="B253" s="6">
        <v>422735040</v>
      </c>
      <c r="C253" t="s">
        <v>368</v>
      </c>
      <c r="D253" s="1" t="s">
        <v>202</v>
      </c>
      <c r="E253" s="4">
        <v>8.08</v>
      </c>
      <c r="G253" s="4">
        <f>E253*F253</f>
        <v>0</v>
      </c>
      <c r="H253">
        <v>0.0063</v>
      </c>
      <c r="I253" s="4">
        <f>E253*H253</f>
        <v>0.050904</v>
      </c>
    </row>
    <row r="254" ht="12.75">
      <c r="B254" s="6"/>
    </row>
    <row r="255" spans="1:9" ht="12.75">
      <c r="A255" s="1" t="s">
        <v>89</v>
      </c>
      <c r="B255" s="6">
        <v>422910570</v>
      </c>
      <c r="C255" t="s">
        <v>223</v>
      </c>
      <c r="D255" s="1" t="s">
        <v>202</v>
      </c>
      <c r="E255" s="4">
        <v>8.08</v>
      </c>
      <c r="G255" s="4">
        <f>E255*F255</f>
        <v>0</v>
      </c>
      <c r="H255">
        <v>0.0035</v>
      </c>
      <c r="I255" s="4">
        <f>E255*H255</f>
        <v>0.02828</v>
      </c>
    </row>
    <row r="257" spans="1:9" ht="12.75">
      <c r="A257" s="1" t="s">
        <v>95</v>
      </c>
      <c r="B257" s="1" t="s">
        <v>224</v>
      </c>
      <c r="C257" t="s">
        <v>225</v>
      </c>
      <c r="D257" s="1" t="s">
        <v>202</v>
      </c>
      <c r="E257" s="4">
        <v>8</v>
      </c>
      <c r="G257" s="4">
        <f>E257*F257</f>
        <v>0</v>
      </c>
      <c r="H257">
        <v>0.05982</v>
      </c>
      <c r="I257" s="4">
        <f>E257*H257</f>
        <v>0.47856</v>
      </c>
    </row>
    <row r="259" spans="1:9" ht="12.75">
      <c r="A259" s="1" t="s">
        <v>97</v>
      </c>
      <c r="B259" s="1" t="s">
        <v>226</v>
      </c>
      <c r="C259" t="s">
        <v>227</v>
      </c>
      <c r="D259" s="1" t="s">
        <v>202</v>
      </c>
      <c r="E259" s="4">
        <v>3</v>
      </c>
      <c r="G259" s="4">
        <f>E259*F259</f>
        <v>0</v>
      </c>
      <c r="H259">
        <v>0.115</v>
      </c>
      <c r="I259" s="4">
        <f>E259*H259</f>
        <v>0.34500000000000003</v>
      </c>
    </row>
    <row r="261" spans="1:9" ht="12.75">
      <c r="A261" s="1" t="s">
        <v>101</v>
      </c>
      <c r="B261" s="1" t="s">
        <v>369</v>
      </c>
      <c r="C261" t="s">
        <v>370</v>
      </c>
      <c r="D261" s="1" t="s">
        <v>202</v>
      </c>
      <c r="E261" s="4">
        <v>2</v>
      </c>
      <c r="G261" s="4">
        <f>E261*F261</f>
        <v>0</v>
      </c>
      <c r="H261">
        <v>0.30704</v>
      </c>
      <c r="I261" s="4">
        <f>E261*H261</f>
        <v>0.61408</v>
      </c>
    </row>
    <row r="262" ht="12.75">
      <c r="B262" s="1" t="s">
        <v>81</v>
      </c>
    </row>
    <row r="263" spans="1:9" ht="12.75">
      <c r="A263" s="1" t="s">
        <v>104</v>
      </c>
      <c r="B263" s="6">
        <v>422913520</v>
      </c>
      <c r="C263" t="s">
        <v>228</v>
      </c>
      <c r="D263" s="1" t="s">
        <v>202</v>
      </c>
      <c r="E263" s="4">
        <v>3</v>
      </c>
      <c r="G263" s="4">
        <f>E263*F263</f>
        <v>0</v>
      </c>
      <c r="H263">
        <v>0.0133</v>
      </c>
      <c r="I263" s="4">
        <f>E263*H263</f>
        <v>0.0399</v>
      </c>
    </row>
    <row r="265" spans="1:9" ht="12.75">
      <c r="A265" s="1" t="s">
        <v>111</v>
      </c>
      <c r="B265" s="6">
        <v>422914020</v>
      </c>
      <c r="C265" t="s">
        <v>229</v>
      </c>
      <c r="D265" s="1" t="s">
        <v>202</v>
      </c>
      <c r="E265" s="4">
        <v>8</v>
      </c>
      <c r="G265" s="4">
        <f>E265*F265</f>
        <v>0</v>
      </c>
      <c r="H265">
        <v>0.0073</v>
      </c>
      <c r="I265" s="4">
        <f>E265*H265</f>
        <v>0.0584</v>
      </c>
    </row>
    <row r="267" spans="1:9" ht="12.75">
      <c r="A267" s="1" t="s">
        <v>113</v>
      </c>
      <c r="B267" s="6">
        <v>422914520</v>
      </c>
      <c r="C267" t="s">
        <v>371</v>
      </c>
      <c r="D267" s="1" t="s">
        <v>202</v>
      </c>
      <c r="E267" s="4">
        <v>2</v>
      </c>
      <c r="G267" s="4">
        <f>E267*F267</f>
        <v>0</v>
      </c>
      <c r="H267">
        <v>0.0295</v>
      </c>
      <c r="I267" s="4">
        <f>E267*H267</f>
        <v>0.059</v>
      </c>
    </row>
    <row r="269" spans="1:9" ht="12.75">
      <c r="A269" s="1" t="s">
        <v>119</v>
      </c>
      <c r="B269" s="1" t="s">
        <v>233</v>
      </c>
      <c r="C269" t="s">
        <v>234</v>
      </c>
      <c r="D269" s="1" t="s">
        <v>202</v>
      </c>
      <c r="E269" s="4">
        <v>13</v>
      </c>
      <c r="G269" s="4">
        <f>E269*F269</f>
        <v>0</v>
      </c>
      <c r="H269">
        <v>0.00031</v>
      </c>
      <c r="I269" s="4">
        <f>E269*H269</f>
        <v>0.00403</v>
      </c>
    </row>
    <row r="271" spans="1:7" ht="12.75">
      <c r="A271" s="1" t="s">
        <v>123</v>
      </c>
      <c r="B271" s="1" t="s">
        <v>235</v>
      </c>
      <c r="C271" t="s">
        <v>236</v>
      </c>
      <c r="D271" s="1" t="s">
        <v>15</v>
      </c>
      <c r="E271" s="4">
        <v>141.7</v>
      </c>
      <c r="G271" s="4">
        <f>E271*F271</f>
        <v>0</v>
      </c>
    </row>
    <row r="273" spans="1:3" ht="12.75">
      <c r="A273" s="1" t="s">
        <v>130</v>
      </c>
      <c r="B273" s="1" t="s">
        <v>237</v>
      </c>
      <c r="C273" t="s">
        <v>238</v>
      </c>
    </row>
    <row r="274" spans="3:9" ht="12.75">
      <c r="C274" t="s">
        <v>239</v>
      </c>
      <c r="D274" s="1" t="s">
        <v>202</v>
      </c>
      <c r="E274" s="4">
        <v>2</v>
      </c>
      <c r="G274" s="4">
        <f>E274*F274</f>
        <v>0</v>
      </c>
      <c r="H274">
        <v>0.46005</v>
      </c>
      <c r="I274" s="4">
        <f>E274*H274</f>
        <v>0.9201</v>
      </c>
    </row>
    <row r="276" spans="1:7" ht="12.75">
      <c r="A276" s="1" t="s">
        <v>145</v>
      </c>
      <c r="B276" s="1" t="s">
        <v>372</v>
      </c>
      <c r="C276" t="s">
        <v>373</v>
      </c>
      <c r="D276" s="1" t="s">
        <v>15</v>
      </c>
      <c r="E276" s="4">
        <v>141.7</v>
      </c>
      <c r="G276" s="4">
        <f>E276*F276</f>
        <v>0</v>
      </c>
    </row>
    <row r="278" spans="1:3" ht="12.75">
      <c r="A278" s="1" t="s">
        <v>147</v>
      </c>
      <c r="B278" s="1" t="s">
        <v>240</v>
      </c>
      <c r="C278" t="s">
        <v>241</v>
      </c>
    </row>
    <row r="279" spans="3:9" ht="12.75">
      <c r="C279" t="s">
        <v>374</v>
      </c>
      <c r="D279" s="1" t="s">
        <v>15</v>
      </c>
      <c r="E279" s="4">
        <f>141.7+25.5+1.8*13</f>
        <v>190.6</v>
      </c>
      <c r="G279" s="4">
        <f>E279*F279</f>
        <v>0</v>
      </c>
      <c r="H279">
        <v>0.00019</v>
      </c>
      <c r="I279" s="4">
        <f>E279*H279</f>
        <v>0.036214</v>
      </c>
    </row>
    <row r="281" spans="1:3" ht="12.75">
      <c r="A281" s="1" t="s">
        <v>151</v>
      </c>
      <c r="B281" s="1" t="s">
        <v>242</v>
      </c>
      <c r="C281" t="s">
        <v>243</v>
      </c>
    </row>
    <row r="282" spans="3:9" ht="13.5" thickBot="1">
      <c r="C282" t="s">
        <v>375</v>
      </c>
      <c r="D282" s="1" t="s">
        <v>15</v>
      </c>
      <c r="E282" s="4">
        <f>141.7+25.5</f>
        <v>167.2</v>
      </c>
      <c r="G282" s="9">
        <f>E282*F282</f>
        <v>0</v>
      </c>
      <c r="H282">
        <v>9E-05</v>
      </c>
      <c r="I282" s="9">
        <f>E282*H282</f>
        <v>0.015048</v>
      </c>
    </row>
    <row r="283" spans="3:9" ht="12.75">
      <c r="C283" s="10" t="s">
        <v>4</v>
      </c>
      <c r="G283" s="11">
        <f>SUM(G218:G282)</f>
        <v>0</v>
      </c>
      <c r="I283" s="4">
        <f>SUM(I218:I282)</f>
        <v>3.2257483000000002</v>
      </c>
    </row>
    <row r="287" spans="2:3" ht="12.75">
      <c r="B287" s="1" t="s">
        <v>112</v>
      </c>
      <c r="C287" s="2" t="s">
        <v>247</v>
      </c>
    </row>
    <row r="289" spans="1:3" ht="12.75">
      <c r="A289" s="1" t="s">
        <v>11</v>
      </c>
      <c r="B289" s="1" t="s">
        <v>257</v>
      </c>
      <c r="C289" t="s">
        <v>258</v>
      </c>
    </row>
    <row r="290" spans="3:7" ht="12.75">
      <c r="C290" t="s">
        <v>376</v>
      </c>
      <c r="D290" s="1" t="s">
        <v>15</v>
      </c>
      <c r="E290" s="4">
        <f>(1.2+1.5)*2+15.5</f>
        <v>20.9</v>
      </c>
      <c r="G290" s="4">
        <f>E290*F290</f>
        <v>0</v>
      </c>
    </row>
    <row r="292" spans="1:3" ht="12.75">
      <c r="A292" s="1" t="s">
        <v>16</v>
      </c>
      <c r="B292" s="1" t="s">
        <v>248</v>
      </c>
      <c r="C292" t="s">
        <v>249</v>
      </c>
    </row>
    <row r="293" spans="3:7" ht="12.75">
      <c r="C293" t="s">
        <v>377</v>
      </c>
      <c r="D293" s="1" t="s">
        <v>77</v>
      </c>
      <c r="E293" s="4">
        <f>(0.24+0.181)*16.69+0.235*(2.21+127.12)</f>
        <v>37.41904</v>
      </c>
      <c r="G293" s="8">
        <f>E293*F293</f>
        <v>0</v>
      </c>
    </row>
    <row r="294" ht="12.75">
      <c r="G294" s="8"/>
    </row>
    <row r="295" spans="1:3" ht="12.75">
      <c r="A295" s="1" t="s">
        <v>21</v>
      </c>
      <c r="B295" s="1" t="s">
        <v>250</v>
      </c>
      <c r="C295" t="s">
        <v>251</v>
      </c>
    </row>
    <row r="296" spans="3:7" ht="12.75">
      <c r="C296" t="s">
        <v>378</v>
      </c>
      <c r="D296" s="1" t="s">
        <v>77</v>
      </c>
      <c r="E296" s="4">
        <f>37.42*14</f>
        <v>523.88</v>
      </c>
      <c r="G296" s="8">
        <f>E296*F296</f>
        <v>0</v>
      </c>
    </row>
    <row r="298" spans="1:3" ht="12.75">
      <c r="A298" s="1" t="s">
        <v>34</v>
      </c>
      <c r="B298" s="1" t="s">
        <v>252</v>
      </c>
      <c r="C298" t="s">
        <v>253</v>
      </c>
    </row>
    <row r="299" ht="12.75">
      <c r="C299" t="s">
        <v>254</v>
      </c>
    </row>
    <row r="300" spans="3:7" ht="12.75">
      <c r="C300" t="s">
        <v>379</v>
      </c>
      <c r="D300" s="1" t="s">
        <v>77</v>
      </c>
      <c r="E300" s="4">
        <f>0.181*16.69</f>
        <v>3.02089</v>
      </c>
      <c r="G300" s="4">
        <f>E300*F300</f>
        <v>0</v>
      </c>
    </row>
    <row r="302" spans="1:3" ht="12.75">
      <c r="A302" s="1" t="s">
        <v>38</v>
      </c>
      <c r="B302" s="1" t="s">
        <v>255</v>
      </c>
      <c r="C302" t="s">
        <v>256</v>
      </c>
    </row>
    <row r="303" spans="3:7" ht="12.75">
      <c r="C303" t="s">
        <v>380</v>
      </c>
      <c r="D303" s="1" t="s">
        <v>77</v>
      </c>
      <c r="E303" s="4">
        <f>37.42-3.02</f>
        <v>34.4</v>
      </c>
      <c r="G303" s="8">
        <f>E303*F303</f>
        <v>0</v>
      </c>
    </row>
    <row r="304" ht="12.75">
      <c r="G304" s="8"/>
    </row>
    <row r="305" spans="1:7" ht="13.5" thickBot="1">
      <c r="A305" s="1" t="s">
        <v>42</v>
      </c>
      <c r="B305" s="1" t="s">
        <v>381</v>
      </c>
      <c r="C305" t="s">
        <v>382</v>
      </c>
      <c r="D305" s="1" t="s">
        <v>52</v>
      </c>
      <c r="E305" s="4">
        <v>2.21</v>
      </c>
      <c r="G305" s="9">
        <f>E305*F305</f>
        <v>0</v>
      </c>
    </row>
    <row r="306" spans="3:9" ht="12.75">
      <c r="C306" s="10" t="s">
        <v>4</v>
      </c>
      <c r="G306" s="11">
        <f>SUM(G290:G305)</f>
        <v>0</v>
      </c>
      <c r="I306"/>
    </row>
  </sheetData>
  <sheetProtection/>
  <printOptions/>
  <pageMargins left="0.7874015748031497" right="0.7874015748031497" top="0.984251968503937" bottom="0.984251968503937" header="0.5118110236220472" footer="0.5118110236220472"/>
  <pageSetup horizontalDpi="180" verticalDpi="180" orientation="landscape" paperSize="9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Turek</dc:creator>
  <cp:keywords/>
  <dc:description/>
  <cp:lastModifiedBy>Renáta Sedláková</cp:lastModifiedBy>
  <cp:lastPrinted>2014-03-20T10:36:55Z</cp:lastPrinted>
  <dcterms:created xsi:type="dcterms:W3CDTF">2001-11-16T08:54:13Z</dcterms:created>
  <dcterms:modified xsi:type="dcterms:W3CDTF">2016-04-08T06:13:38Z</dcterms:modified>
  <cp:category/>
  <cp:version/>
  <cp:contentType/>
  <cp:contentStatus/>
</cp:coreProperties>
</file>