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0" windowWidth="13032" windowHeight="8952" activeTab="0"/>
  </bookViews>
  <sheets>
    <sheet name="Rekapitulace stavby" sheetId="1" r:id="rId1"/>
    <sheet name="odvodnění" sheetId="2" r:id="rId2"/>
    <sheet name="komunikace" sheetId="3" r:id="rId3"/>
    <sheet name="VRN - Vedlejší rozpočtové..." sheetId="4" r:id="rId4"/>
  </sheets>
  <definedNames>
    <definedName name="_xlnm.Print_Titles" localSheetId="2">'komunikace'!$114:$114</definedName>
    <definedName name="_xlnm.Print_Titles" localSheetId="1">'odvodnění'!$114:$114</definedName>
    <definedName name="_xlnm.Print_Titles" localSheetId="0">'Rekapitulace stavby'!$85:$85</definedName>
    <definedName name="_xlnm.Print_Titles" localSheetId="3">'VRN - Vedlejší rozpočtové...'!$112:$112</definedName>
    <definedName name="_xlnm.Print_Area" localSheetId="2">'komunikace'!$C$4:$Q$70,'komunikace'!$C$76:$Q$98,'komunikace'!$C$104:$Q$177</definedName>
    <definedName name="_xlnm.Print_Area" localSheetId="1">'odvodnění'!$C$4:$Q$70,'odvodnění'!$C$76:$Q$98,'odvodnění'!$C$104:$Q$153</definedName>
    <definedName name="_xlnm.Print_Area" localSheetId="0">'Rekapitulace stavby'!$C$4:$AP$70,'Rekapitulace stavby'!$C$76:$AP$94</definedName>
    <definedName name="_xlnm.Print_Area" localSheetId="3">'VRN - Vedlejší rozpočtové...'!$C$4:$Q$70,'VRN - Vedlejší rozpočtové...'!$C$76:$Q$96,'VRN - Vedlejší rozpočtové...'!$C$102:$Q$121</definedName>
  </definedNames>
  <calcPr fullCalcOnLoad="1"/>
</workbook>
</file>

<file path=xl/sharedStrings.xml><?xml version="1.0" encoding="utf-8"?>
<sst xmlns="http://schemas.openxmlformats.org/spreadsheetml/2006/main" count="1442" uniqueCount="319">
  <si>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</si>
  <si>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</si>
  <si>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</si>
  <si>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</si>
  <si>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</si>
  <si>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</si>
  <si>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</si>
  <si>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</si>
  <si>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</si>
  <si>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</si>
  <si>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</si>
  <si>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</si>
  <si>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</si>
  <si>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P1404_1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</si>
  <si>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</si>
  <si>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</si>
  <si>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</si>
  <si>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</si>
  <si>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</si>
  <si>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</si>
  <si>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</si>
  <si>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</si>
  <si>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</si>
  <si>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</si>
  <si>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</si>
  <si>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</si>
  <si>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00241580</t>
  </si>
  <si>
    <t>Obec Psáry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</si>
  <si>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</si>
  <si>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</si>
  <si>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</si>
  <si>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</si>
  <si>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</si>
  <si>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</si>
  <si>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</si>
  <si>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</si>
  <si>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</si>
  <si>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</si>
  <si>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</si>
  <si>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</si>
  <si>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</si>
  <si>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</si>
  <si>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</si>
  <si>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</si>
  <si>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</si>
  <si>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</si>
  <si>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</si>
  <si>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</si>
  <si>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</si>
  <si>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</si>
  <si>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</si>
  <si>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</si>
  <si>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</si>
  <si>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</si>
  <si>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</si>
  <si>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</si>
  <si>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</si>
  <si>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</si>
  <si>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</si>
  <si>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</si>
  <si>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</si>
  <si>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</si>
  <si>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</si>
  <si>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</si>
  <si>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</si>
  <si>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</si>
  <si>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</si>
  <si>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</si>
  <si>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</si>
  <si>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</si>
  <si>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</si>
  <si>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</si>
  <si>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</si>
  <si>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</si>
  <si>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</si>
  <si>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</si>
  <si>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{A7D3BEFC-C70A-40E4-8350-923677E4990A}</t>
  </si>
  <si>
    <t>{00000000-0000-0000-0000-000000000000}</t>
  </si>
  <si>
    <t>SO02</t>
  </si>
  <si>
    <t>SO 02 - Komunikace</t>
  </si>
  <si>
    <t>{F4D76B15-B4F2-4018-BB4B-8BD026BB2B51}</t>
  </si>
  <si>
    <t>VRN</t>
  </si>
  <si>
    <t>Vedlejší rozpočtové náklady</t>
  </si>
  <si>
    <t>{508753B2-9650-4E35-8C1F-56A1DCDBEA75}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</si>
  <si>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</si>
  <si>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</si>
  <si>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</si>
  <si>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</si>
  <si>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</si>
  <si>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</si>
  <si>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</si>
  <si>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</si>
  <si>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</si>
  <si>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</si>
  <si>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</si>
  <si>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</si>
  <si>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</si>
  <si>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</si>
  <si>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</si>
  <si>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</si>
  <si>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</si>
  <si>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</si>
  <si>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</si>
  <si>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</si>
  <si>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  99 - Přesuny hmot a sutí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</si>
  <si>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</si>
  <si>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</si>
  <si>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</si>
  <si>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</si>
  <si>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</si>
  <si>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</si>
  <si>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</si>
  <si>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</si>
  <si>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</si>
  <si>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</si>
  <si>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</si>
  <si>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</si>
  <si>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</si>
  <si>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</si>
  <si>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</si>
  <si>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</si>
  <si>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</si>
  <si>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</si>
  <si>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</si>
  <si>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3</t>
  </si>
  <si>
    <t>m</t>
  </si>
  <si>
    <t>5</t>
  </si>
  <si>
    <t>m3</t>
  </si>
  <si>
    <t>VV</t>
  </si>
  <si>
    <t>8</t>
  </si>
  <si>
    <t>m2</t>
  </si>
  <si>
    <t>162701R03</t>
  </si>
  <si>
    <t>skládka vybraná zhotovitelem po dohodě s investorem</t>
  </si>
  <si>
    <t>P</t>
  </si>
  <si>
    <t>171201211</t>
  </si>
  <si>
    <t>Poplatek za uložení odpadu ze sypaniny na skládce (skládkovné)</t>
  </si>
  <si>
    <t>t</t>
  </si>
  <si>
    <t>M</t>
  </si>
  <si>
    <t>Výplň odvodňovacích žeber nebo trativodů kamenivem hrubým drceným frakce 16 až 32 mm</t>
  </si>
  <si>
    <t>kus</t>
  </si>
  <si>
    <t>919121R01</t>
  </si>
  <si>
    <t xml:space="preserve">Těsnění spár zálivkou </t>
  </si>
  <si>
    <t>919735112</t>
  </si>
  <si>
    <t>Řezání stávajícího živičného krytu hl do 100 mm</t>
  </si>
  <si>
    <t>822 27 73</t>
  </si>
  <si>
    <t xml:space="preserve">    997 - Přesun sutě</t>
  </si>
  <si>
    <t>113107224</t>
  </si>
  <si>
    <t>623798117</t>
  </si>
  <si>
    <t>113107242</t>
  </si>
  <si>
    <t>Odstranění podkladu pl přes 200 m2 živičných tl 100 mm</t>
  </si>
  <si>
    <t>1264865077</t>
  </si>
  <si>
    <t>113201111</t>
  </si>
  <si>
    <t>141566267</t>
  </si>
  <si>
    <t>122102202</t>
  </si>
  <si>
    <t>Odkopávky a prokopávky nezapažené pro silnice objemu do 1000 m3 v hornině tř. 1 a 2</t>
  </si>
  <si>
    <t>213529071</t>
  </si>
  <si>
    <t>122202202</t>
  </si>
  <si>
    <t>Odkopávky a prokopávky nezapažené pro silnice objemu do 1000 m3 v hornině tř. 3</t>
  </si>
  <si>
    <t>927268067</t>
  </si>
  <si>
    <t>122202209</t>
  </si>
  <si>
    <t>Příplatek k odkopávkám a prokopávkám pro silnice v hornině tř. 3 za lepivost</t>
  </si>
  <si>
    <t>1716983917</t>
  </si>
  <si>
    <t>132201101</t>
  </si>
  <si>
    <t>Hloubení rýh š do 600 mm v hornině tř. 3 objemu do 100 m3</t>
  </si>
  <si>
    <t>-768015364</t>
  </si>
  <si>
    <t>398527022</t>
  </si>
  <si>
    <t>-1397841644</t>
  </si>
  <si>
    <t>181301102</t>
  </si>
  <si>
    <t>-782939418</t>
  </si>
  <si>
    <t>103715R01</t>
  </si>
  <si>
    <t>zemina na ohumusování - nákup a dovoz</t>
  </si>
  <si>
    <t>-764387147</t>
  </si>
  <si>
    <t>181411131</t>
  </si>
  <si>
    <t>Založení parkového trávníku výsevem plochy do 1000 m2 v rovině a ve svahu do 1:5</t>
  </si>
  <si>
    <t>138535824</t>
  </si>
  <si>
    <t>005724100</t>
  </si>
  <si>
    <t>osivo směs travní parková</t>
  </si>
  <si>
    <t>kg</t>
  </si>
  <si>
    <t>1617937791</t>
  </si>
  <si>
    <t>181951102</t>
  </si>
  <si>
    <t>Úprava pláně v hornině tř. 1 až 4 se zhutněním</t>
  </si>
  <si>
    <t>-10861398</t>
  </si>
  <si>
    <t>182101101</t>
  </si>
  <si>
    <t>Svahování v zářezech v hornině tř. 1 až 4</t>
  </si>
  <si>
    <t>-28767731</t>
  </si>
  <si>
    <t>365"ze situace</t>
  </si>
  <si>
    <t>185803111</t>
  </si>
  <si>
    <t>Ošetření trávníku shrabáním v rovině a svahu do 1:5</t>
  </si>
  <si>
    <t>-956930581</t>
  </si>
  <si>
    <t>185804312</t>
  </si>
  <si>
    <t>Zalití rostlin vodou plocha přes 20 m2</t>
  </si>
  <si>
    <t>1117993147</t>
  </si>
  <si>
    <t>211531111R</t>
  </si>
  <si>
    <t>-1800754622</t>
  </si>
  <si>
    <t>-322365413</t>
  </si>
  <si>
    <t>212755216</t>
  </si>
  <si>
    <t>Trativody z drenážních trubek plastových flexibilních D 160 mm bez lože</t>
  </si>
  <si>
    <t>-2114837046</t>
  </si>
  <si>
    <t>561041R03</t>
  </si>
  <si>
    <t>-100863341</t>
  </si>
  <si>
    <t>564261111</t>
  </si>
  <si>
    <t>-1448069329</t>
  </si>
  <si>
    <t>564811113</t>
  </si>
  <si>
    <t>1389054890</t>
  </si>
  <si>
    <t>565145111</t>
  </si>
  <si>
    <t>Asfaltový beton vrstva podkladní ACP 16 (obalované kamenivo OKS) tl 60 mm š do 3 m</t>
  </si>
  <si>
    <t>93044280</t>
  </si>
  <si>
    <t>567122111</t>
  </si>
  <si>
    <t>Podklad ze směsi stmelené cementem SC C 8/10 (KSC I) tl 120 mm</t>
  </si>
  <si>
    <t>1086851142</t>
  </si>
  <si>
    <t>1620-165-96,4*0,88</t>
  </si>
  <si>
    <t>577134111</t>
  </si>
  <si>
    <t>Asfaltový beton vrstva obrusná ACO 11 (ABS) tř. I tl 40 mm š do 3 m z nemodifikovaného asfaltu</t>
  </si>
  <si>
    <t>-211681456</t>
  </si>
  <si>
    <t>596412312</t>
  </si>
  <si>
    <t>Kladení dlažby z vegetačních tvárnic pozemních komunikací tl 100 mm do 300 m2</t>
  </si>
  <si>
    <t>-1580190052</t>
  </si>
  <si>
    <t>592281150</t>
  </si>
  <si>
    <t>-1547933266</t>
  </si>
  <si>
    <t>916231213</t>
  </si>
  <si>
    <t>-1021299821</t>
  </si>
  <si>
    <t>592174600</t>
  </si>
  <si>
    <t>1690702509</t>
  </si>
  <si>
    <t>916331112</t>
  </si>
  <si>
    <t>177064117</t>
  </si>
  <si>
    <t>592172120</t>
  </si>
  <si>
    <t>-1338959147</t>
  </si>
  <si>
    <t>-506515025</t>
  </si>
  <si>
    <t>-2017758638</t>
  </si>
  <si>
    <t>52</t>
  </si>
  <si>
    <t>998225111</t>
  </si>
  <si>
    <t>Přesun hmot pro pozemní komunikace a letiště s krytem živičným</t>
  </si>
  <si>
    <t>1983267914</t>
  </si>
  <si>
    <t>53</t>
  </si>
  <si>
    <t>997221815</t>
  </si>
  <si>
    <t>Poplatek za uložení betonového odpadu na skládce (skládkovné)</t>
  </si>
  <si>
    <t>-387607657</t>
  </si>
  <si>
    <t>54</t>
  </si>
  <si>
    <t>997221845</t>
  </si>
  <si>
    <t>Poplatek za uložení odpadu z asfaltových povrchů na skládce (skládkovné)</t>
  </si>
  <si>
    <t>566804778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</si>
  <si>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</si>
  <si>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</si>
  <si>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</si>
  <si>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</si>
  <si>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012203000</t>
  </si>
  <si>
    <t>Geodetické práce při provádění stavby</t>
  </si>
  <si>
    <t>Kč</t>
  </si>
  <si>
    <t>1024</t>
  </si>
  <si>
    <t>553807255</t>
  </si>
  <si>
    <t>013254000</t>
  </si>
  <si>
    <t>Dokumentace skutečného provedení stavby</t>
  </si>
  <si>
    <t>1409741859</t>
  </si>
  <si>
    <t>030001000</t>
  </si>
  <si>
    <t>Zařízení staveniště dle POV stavby (zřízení, provoz, odstranění)</t>
  </si>
  <si>
    <t>1939602437</t>
  </si>
  <si>
    <t>079002000</t>
  </si>
  <si>
    <t>Ostatní provozní vlivy - Dopravní opatření v průběhu stavby vč. návrhu a jeho projednání s Policií ČR</t>
  </si>
  <si>
    <t>1267835839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</si>
  <si>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</si>
  <si>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</si>
  <si>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</si>
  <si>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</si>
  <si>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</si>
  <si>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</si>
  <si>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</si>
  <si>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ing.Jiří Nádvorník-TOK</t>
  </si>
  <si>
    <t>ing.Jiří Nádvorník -TOK</t>
  </si>
  <si>
    <t>Podklad ze štěrkodrtě ŠD 4/8 tl 40 mm</t>
  </si>
  <si>
    <t>ing.Jiří Nádvorník</t>
  </si>
  <si>
    <t>geotextilii350g/m2 včetně montáže</t>
  </si>
  <si>
    <t>REKONSTRUKCE KOMUNIKACE části ul.Hlavní v úseku mezi ulicemi Sportovců a Na Výsluní, Psáry- k.ú. Dolní Jirčany</t>
  </si>
  <si>
    <t>ing.Jiří Nádvorník - TOK</t>
  </si>
  <si>
    <t>CZ530201252</t>
  </si>
  <si>
    <t>Odstranění podkladu pl přes 200 m2 z kameniva drceného tl 200 mm</t>
  </si>
  <si>
    <t>demontáž žlabovek s očištěním a uložením na palety</t>
  </si>
  <si>
    <t>160"ze situace</t>
  </si>
  <si>
    <t>342,144 z příčných řezů + 176*5,7*0,1</t>
  </si>
  <si>
    <t>100,320*0,3</t>
  </si>
  <si>
    <t>0,6*0,2*160"rýha pro však a drenáž</t>
  </si>
  <si>
    <t>Rozprostření ornice tl vrstvy do 100 mm pl do 500 m2 v rovině nebo ve svahu do 1:5</t>
  </si>
  <si>
    <t>176*2,8 odměřeno ze situace</t>
  </si>
  <si>
    <t>492,8*0,1</t>
  </si>
  <si>
    <t>492,8*0,015</t>
  </si>
  <si>
    <t>176*5,7 odměřeno ze situace</t>
  </si>
  <si>
    <t>492,8*0,08</t>
  </si>
  <si>
    <t xml:space="preserve">122*0,6*0,5 vsak </t>
  </si>
  <si>
    <t>122*(0,6+0,5+0,3)</t>
  </si>
  <si>
    <t>V případě  nedostatečné  únosnosti  zemní  pláně  je  nutno  ji  sanovat  výměnou  vrchní  vrstvy  za  vrstvu drceného kameniva fr. 0/63 a dosáhnout tak požadovaných hodnot E def,2 . 
O vhodném postupu rozhodne po odkrytí zemní pláně zodpovědný geotechnik.</t>
  </si>
  <si>
    <t>Zlepšení vlastnosí zemin v aktivní zóně tl.100mm</t>
  </si>
  <si>
    <t>Podklad nebo podsyp z kameniva drceného O/63 tl 200 mm</t>
  </si>
  <si>
    <t>122*0,8*0,04"pod dlažbu vsaku</t>
  </si>
  <si>
    <t>(160*4,6)+(16*5,1)+(23*0,5)</t>
  </si>
  <si>
    <t>122*0,4" vsak</t>
  </si>
  <si>
    <t>tvárnice betonová zatravňovací  60x40x10 cm</t>
  </si>
  <si>
    <t>(122/0,4)*1,05</t>
  </si>
  <si>
    <t>Osazení silničního obrubníku betonového stojatého s boční opěrou do lože z betonu prostého</t>
  </si>
  <si>
    <t>obrubník betonový silniční ABO 2-15 100x15x25 cm</t>
  </si>
  <si>
    <t>Osazení chodníkového obrubníku betonového do lože z betonu s boční opěrou</t>
  </si>
  <si>
    <t>obrubník betonový chodníkový ABO 020- šedý 100 x 10 x 20 cm</t>
  </si>
  <si>
    <t>15"navázání na stávající vozovku</t>
  </si>
  <si>
    <t>Vybourání betonové jímky ul.vpusti</t>
  </si>
  <si>
    <t>zřízení prefabrik uliční vpusti s pozink.košem</t>
  </si>
  <si>
    <t>ks</t>
  </si>
  <si>
    <t>rektifikace pokopů kanalizace</t>
  </si>
  <si>
    <t>rektifikace hrnků armatur</t>
  </si>
  <si>
    <t>1,5*2,4</t>
  </si>
  <si>
    <t>nezahrnuto do součtu ceny !!!</t>
  </si>
  <si>
    <t>Vodorovné přemístění přebytečného výkopku na skládku do 5km</t>
  </si>
  <si>
    <t>SO-01 Odvodnění</t>
  </si>
  <si>
    <t>19,2*1,8</t>
  </si>
  <si>
    <t>176-23+(6*0,5)</t>
  </si>
  <si>
    <t>SO01</t>
  </si>
  <si>
    <t>SO 01 - Odvodnění</t>
  </si>
  <si>
    <t>SO 02 Komunikace</t>
  </si>
  <si>
    <t>osazení základů a patek veř.osvětlení</t>
  </si>
  <si>
    <t>kpl</t>
  </si>
  <si>
    <t>duben 2017</t>
  </si>
  <si>
    <t>643,104*1,8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</si>
</sst>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rgb="FFFF0000"/>
      <name val="Trebuchet MS"/>
      <family val="2"/>
    </font>
    <font>
      <sz val="12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right" vertical="center"/>
    </xf>
    <xf numFmtId="167" fontId="11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68" fontId="28" fillId="0" borderId="0" xfId="0" applyNumberFormat="1" applyFont="1" applyFill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167" fontId="24" fillId="0" borderId="0" xfId="0" applyNumberFormat="1" applyFont="1" applyFill="1" applyAlignment="1">
      <alignment horizontal="right"/>
    </xf>
    <xf numFmtId="167" fontId="24" fillId="0" borderId="23" xfId="0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right" vertical="center"/>
    </xf>
    <xf numFmtId="0" fontId="0" fillId="0" borderId="33" xfId="0" applyFont="1" applyFill="1" applyBorder="1" applyAlignment="1">
      <alignment horizontal="center" vertical="center" wrapText="1"/>
    </xf>
    <xf numFmtId="168" fontId="2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center" vertical="center" wrapText="1"/>
    </xf>
    <xf numFmtId="168" fontId="31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0" fontId="73" fillId="0" borderId="33" xfId="0" applyFont="1" applyFill="1" applyBorder="1" applyAlignment="1">
      <alignment horizontal="center" vertical="center"/>
    </xf>
    <xf numFmtId="49" fontId="73" fillId="0" borderId="33" xfId="0" applyNumberFormat="1" applyFont="1" applyFill="1" applyBorder="1" applyAlignment="1">
      <alignment horizontal="left" vertical="center" wrapText="1"/>
    </xf>
    <xf numFmtId="0" fontId="73" fillId="0" borderId="33" xfId="0" applyFont="1" applyFill="1" applyBorder="1" applyAlignment="1">
      <alignment horizontal="center" vertical="center" wrapText="1"/>
    </xf>
    <xf numFmtId="168" fontId="73" fillId="0" borderId="33" xfId="0" applyNumberFormat="1" applyFont="1" applyFill="1" applyBorder="1" applyAlignment="1">
      <alignment horizontal="right" vertical="center"/>
    </xf>
    <xf numFmtId="0" fontId="73" fillId="0" borderId="14" xfId="0" applyFont="1" applyFill="1" applyBorder="1" applyAlignment="1">
      <alignment horizontal="left"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167" fontId="73" fillId="0" borderId="0" xfId="0" applyNumberFormat="1" applyFont="1" applyFill="1" applyAlignment="1">
      <alignment horizontal="right" vertical="center"/>
    </xf>
    <xf numFmtId="167" fontId="73" fillId="0" borderId="23" xfId="0" applyNumberFormat="1" applyFont="1" applyFill="1" applyBorder="1" applyAlignment="1">
      <alignment horizontal="right" vertical="center"/>
    </xf>
    <xf numFmtId="164" fontId="73" fillId="0" borderId="0" xfId="0" applyNumberFormat="1" applyFont="1" applyFill="1" applyAlignment="1">
      <alignment horizontal="right" vertical="center"/>
    </xf>
    <xf numFmtId="0" fontId="74" fillId="0" borderId="0" xfId="0" applyFont="1" applyFill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168" fontId="0" fillId="0" borderId="0" xfId="0" applyNumberFormat="1" applyFont="1" applyFill="1" applyAlignment="1">
      <alignment horizontal="righ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168" fontId="0" fillId="0" borderId="0" xfId="0" applyNumberFormat="1" applyFont="1" applyFill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164" fontId="25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164" fontId="0" fillId="0" borderId="3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/>
    </xf>
    <xf numFmtId="164" fontId="31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0" fontId="72" fillId="33" borderId="0" xfId="36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3" fillId="0" borderId="33" xfId="0" applyFont="1" applyFill="1" applyBorder="1" applyAlignment="1">
      <alignment horizontal="left" vertical="center" wrapText="1"/>
    </xf>
    <xf numFmtId="0" fontId="73" fillId="0" borderId="33" xfId="0" applyFont="1" applyFill="1" applyBorder="1" applyAlignment="1">
      <alignment horizontal="left" vertical="center"/>
    </xf>
    <xf numFmtId="164" fontId="73" fillId="0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CE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B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B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8C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6C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4B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4B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78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F95" sqref="BF94:BF9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259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260</v>
      </c>
      <c r="X1" s="132"/>
      <c r="Y1" s="132"/>
      <c r="Z1" s="132"/>
      <c r="AA1" s="132"/>
      <c r="AB1" s="132"/>
      <c r="AC1" s="132"/>
      <c r="AD1" s="132"/>
      <c r="AE1" s="132"/>
      <c r="AF1" s="132"/>
      <c r="AG1" s="130"/>
      <c r="AH1" s="13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6" t="s">
        <v>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30" t="s">
        <v>9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223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235" t="s">
        <v>271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42826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 t="s">
        <v>26</v>
      </c>
      <c r="AQ10" s="11"/>
      <c r="BS10" s="6" t="s">
        <v>15</v>
      </c>
    </row>
    <row r="11" spans="2:71" s="2" customFormat="1" ht="19.5" customHeight="1">
      <c r="B11" s="10"/>
      <c r="E11" s="14" t="s">
        <v>27</v>
      </c>
      <c r="AK11" s="16" t="s">
        <v>28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29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28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30</v>
      </c>
      <c r="AK16" s="16" t="s">
        <v>25</v>
      </c>
      <c r="AN16" s="14">
        <v>45064679</v>
      </c>
      <c r="AQ16" s="11"/>
      <c r="BS16" s="6" t="s">
        <v>3</v>
      </c>
    </row>
    <row r="17" spans="2:71" s="2" customFormat="1" ht="19.5" customHeight="1">
      <c r="B17" s="10"/>
      <c r="E17" s="14" t="s">
        <v>272</v>
      </c>
      <c r="AK17" s="16" t="s">
        <v>28</v>
      </c>
      <c r="AN17" s="14" t="s">
        <v>273</v>
      </c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20</v>
      </c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33</v>
      </c>
      <c r="AQ22" s="11"/>
    </row>
    <row r="23" spans="2:43" s="2" customFormat="1" ht="15.75" customHeight="1">
      <c r="B23" s="10"/>
      <c r="E23" s="236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34</v>
      </c>
      <c r="AK26" s="213">
        <f>ROUND($AG$87,2)</f>
        <v>0</v>
      </c>
      <c r="AL26" s="210"/>
      <c r="AM26" s="210"/>
      <c r="AN26" s="210"/>
      <c r="AO26" s="210"/>
      <c r="AQ26" s="11"/>
    </row>
    <row r="27" spans="2:43" s="2" customFormat="1" ht="15" customHeight="1">
      <c r="B27" s="10"/>
      <c r="D27" s="18" t="s">
        <v>35</v>
      </c>
      <c r="AK27" s="213">
        <f>ROUND($AG$92,2)</f>
        <v>0</v>
      </c>
      <c r="AL27" s="210"/>
      <c r="AM27" s="210"/>
      <c r="AN27" s="210"/>
      <c r="AO27" s="210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14">
        <f>ROUND($AK$26+$AK$27,2)</f>
        <v>0</v>
      </c>
      <c r="AL29" s="215"/>
      <c r="AM29" s="215"/>
      <c r="AN29" s="215"/>
      <c r="AO29" s="215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37</v>
      </c>
      <c r="F31" s="24" t="s">
        <v>38</v>
      </c>
      <c r="L31" s="232">
        <v>0.21</v>
      </c>
      <c r="M31" s="233"/>
      <c r="N31" s="233"/>
      <c r="O31" s="233"/>
      <c r="T31" s="26" t="s">
        <v>39</v>
      </c>
      <c r="W31" s="234">
        <f>AK26</f>
        <v>0</v>
      </c>
      <c r="X31" s="233"/>
      <c r="Y31" s="233"/>
      <c r="Z31" s="233"/>
      <c r="AA31" s="233"/>
      <c r="AB31" s="233"/>
      <c r="AC31" s="233"/>
      <c r="AD31" s="233"/>
      <c r="AE31" s="233"/>
      <c r="AK31" s="234">
        <f>W31*0.21</f>
        <v>0</v>
      </c>
      <c r="AL31" s="233"/>
      <c r="AM31" s="233"/>
      <c r="AN31" s="233"/>
      <c r="AO31" s="233"/>
      <c r="AQ31" s="27"/>
    </row>
    <row r="32" spans="2:43" s="6" customFormat="1" ht="15" customHeight="1">
      <c r="B32" s="23"/>
      <c r="F32" s="24" t="s">
        <v>40</v>
      </c>
      <c r="L32" s="232">
        <v>0.15</v>
      </c>
      <c r="M32" s="233"/>
      <c r="N32" s="233"/>
      <c r="O32" s="233"/>
      <c r="T32" s="26" t="s">
        <v>39</v>
      </c>
      <c r="W32" s="234"/>
      <c r="X32" s="233"/>
      <c r="Y32" s="233"/>
      <c r="Z32" s="233"/>
      <c r="AA32" s="233"/>
      <c r="AB32" s="233"/>
      <c r="AC32" s="233"/>
      <c r="AD32" s="233"/>
      <c r="AE32" s="233"/>
      <c r="AK32" s="234"/>
      <c r="AL32" s="233"/>
      <c r="AM32" s="233"/>
      <c r="AN32" s="233"/>
      <c r="AO32" s="233"/>
      <c r="AQ32" s="27"/>
    </row>
    <row r="33" spans="2:43" s="6" customFormat="1" ht="15" customHeight="1" hidden="1">
      <c r="B33" s="23"/>
      <c r="F33" s="24" t="s">
        <v>41</v>
      </c>
      <c r="L33" s="232">
        <v>0.21</v>
      </c>
      <c r="M33" s="233"/>
      <c r="N33" s="233"/>
      <c r="O33" s="233"/>
      <c r="T33" s="26" t="s">
        <v>39</v>
      </c>
      <c r="W33" s="234" t="e">
        <f>ROUND($BB$87+SUM($CF$93:$CF$93),2)</f>
        <v>#REF!</v>
      </c>
      <c r="X33" s="233"/>
      <c r="Y33" s="233"/>
      <c r="Z33" s="233"/>
      <c r="AA33" s="233"/>
      <c r="AB33" s="233"/>
      <c r="AC33" s="233"/>
      <c r="AD33" s="233"/>
      <c r="AE33" s="233"/>
      <c r="AK33" s="234">
        <v>0</v>
      </c>
      <c r="AL33" s="233"/>
      <c r="AM33" s="233"/>
      <c r="AN33" s="233"/>
      <c r="AO33" s="233"/>
      <c r="AQ33" s="27"/>
    </row>
    <row r="34" spans="2:43" s="6" customFormat="1" ht="15" customHeight="1" hidden="1">
      <c r="B34" s="23"/>
      <c r="F34" s="24" t="s">
        <v>42</v>
      </c>
      <c r="L34" s="232">
        <v>0.15</v>
      </c>
      <c r="M34" s="233"/>
      <c r="N34" s="233"/>
      <c r="O34" s="233"/>
      <c r="T34" s="26" t="s">
        <v>39</v>
      </c>
      <c r="W34" s="234" t="e">
        <f>ROUND($BC$87+SUM($CG$93:$CG$93),2)</f>
        <v>#REF!</v>
      </c>
      <c r="X34" s="233"/>
      <c r="Y34" s="233"/>
      <c r="Z34" s="233"/>
      <c r="AA34" s="233"/>
      <c r="AB34" s="233"/>
      <c r="AC34" s="233"/>
      <c r="AD34" s="233"/>
      <c r="AE34" s="233"/>
      <c r="AK34" s="234">
        <v>0</v>
      </c>
      <c r="AL34" s="233"/>
      <c r="AM34" s="233"/>
      <c r="AN34" s="233"/>
      <c r="AO34" s="233"/>
      <c r="AQ34" s="27"/>
    </row>
    <row r="35" spans="2:43" s="6" customFormat="1" ht="15" customHeight="1" hidden="1">
      <c r="B35" s="23"/>
      <c r="F35" s="24" t="s">
        <v>43</v>
      </c>
      <c r="L35" s="232">
        <v>0</v>
      </c>
      <c r="M35" s="233"/>
      <c r="N35" s="233"/>
      <c r="O35" s="233"/>
      <c r="T35" s="26" t="s">
        <v>39</v>
      </c>
      <c r="W35" s="234" t="e">
        <f>ROUND($BD$87+SUM($CH$93:$CH$93),2)</f>
        <v>#REF!</v>
      </c>
      <c r="X35" s="233"/>
      <c r="Y35" s="233"/>
      <c r="Z35" s="233"/>
      <c r="AA35" s="233"/>
      <c r="AB35" s="233"/>
      <c r="AC35" s="233"/>
      <c r="AD35" s="233"/>
      <c r="AE35" s="233"/>
      <c r="AK35" s="234">
        <v>0</v>
      </c>
      <c r="AL35" s="233"/>
      <c r="AM35" s="233"/>
      <c r="AN35" s="233"/>
      <c r="AO35" s="233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45</v>
      </c>
      <c r="U37" s="30"/>
      <c r="V37" s="30"/>
      <c r="W37" s="30"/>
      <c r="X37" s="228" t="s">
        <v>46</v>
      </c>
      <c r="Y37" s="225"/>
      <c r="Z37" s="225"/>
      <c r="AA37" s="225"/>
      <c r="AB37" s="225"/>
      <c r="AC37" s="30"/>
      <c r="AD37" s="30"/>
      <c r="AE37" s="30"/>
      <c r="AF37" s="30"/>
      <c r="AG37" s="30"/>
      <c r="AH37" s="30"/>
      <c r="AI37" s="30"/>
      <c r="AJ37" s="30"/>
      <c r="AK37" s="229">
        <f>SUM($AK$29:$AK$35)</f>
        <v>0</v>
      </c>
      <c r="AL37" s="225"/>
      <c r="AM37" s="225"/>
      <c r="AN37" s="225"/>
      <c r="AO37" s="227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48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49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50</v>
      </c>
      <c r="S58" s="38"/>
      <c r="T58" s="38"/>
      <c r="U58" s="38"/>
      <c r="V58" s="38"/>
      <c r="W58" s="38"/>
      <c r="X58" s="38"/>
      <c r="Y58" s="38"/>
      <c r="Z58" s="40"/>
      <c r="AC58" s="37" t="s">
        <v>49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50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52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49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50</v>
      </c>
      <c r="S69" s="38"/>
      <c r="T69" s="38"/>
      <c r="U69" s="38"/>
      <c r="V69" s="38"/>
      <c r="W69" s="38"/>
      <c r="X69" s="38"/>
      <c r="Y69" s="38"/>
      <c r="Z69" s="40"/>
      <c r="AC69" s="37" t="s">
        <v>49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50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230" t="s">
        <v>53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"/>
    </row>
    <row r="77" spans="2:43" s="14" customFormat="1" ht="15" customHeight="1">
      <c r="B77" s="47"/>
      <c r="C77" s="16" t="s">
        <v>12</v>
      </c>
      <c r="L77" s="14" t="str">
        <f>$K$5</f>
        <v>P1404_1</v>
      </c>
      <c r="AQ77" s="48"/>
    </row>
    <row r="78" spans="2:43" s="49" customFormat="1" ht="37.5" customHeight="1">
      <c r="B78" s="50"/>
      <c r="C78" s="49" t="s">
        <v>14</v>
      </c>
      <c r="L78" s="231" t="str">
        <f>$K$6</f>
        <v>REKONSTRUKCE KOMUNIKACE části ul.Hlavní v úseku mezi ulicemi Sportovců a Na Výsluní, Psáry- k.ú. Dolní Jirčany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134" t="s">
        <v>317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Obec Psáry</v>
      </c>
      <c r="AI82" s="16" t="s">
        <v>30</v>
      </c>
      <c r="AM82" s="223" t="s">
        <v>266</v>
      </c>
      <c r="AN82" s="206"/>
      <c r="AO82" s="206"/>
      <c r="AP82" s="206"/>
      <c r="AQ82" s="20"/>
      <c r="AS82" s="220" t="s">
        <v>54</v>
      </c>
      <c r="AT82" s="221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 t="str">
        <f>IF($E$14="","",$E$14)</f>
        <v> </v>
      </c>
      <c r="AI83" s="16" t="s">
        <v>32</v>
      </c>
      <c r="AM83" s="223" t="str">
        <f>IF($E$20="","",$E$20)</f>
        <v> </v>
      </c>
      <c r="AN83" s="206"/>
      <c r="AO83" s="206"/>
      <c r="AP83" s="206"/>
      <c r="AQ83" s="20"/>
      <c r="AS83" s="222"/>
      <c r="AT83" s="206"/>
      <c r="BD83" s="53"/>
    </row>
    <row r="84" spans="2:56" s="6" customFormat="1" ht="12" customHeight="1">
      <c r="B84" s="19"/>
      <c r="AQ84" s="20"/>
      <c r="AS84" s="222"/>
      <c r="AT84" s="206"/>
      <c r="BD84" s="53"/>
    </row>
    <row r="85" spans="2:57" s="6" customFormat="1" ht="30" customHeight="1">
      <c r="B85" s="19"/>
      <c r="C85" s="224" t="s">
        <v>55</v>
      </c>
      <c r="D85" s="225"/>
      <c r="E85" s="225"/>
      <c r="F85" s="225"/>
      <c r="G85" s="225"/>
      <c r="H85" s="30"/>
      <c r="I85" s="226" t="s">
        <v>56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57</v>
      </c>
      <c r="AH85" s="225"/>
      <c r="AI85" s="225"/>
      <c r="AJ85" s="225"/>
      <c r="AK85" s="225"/>
      <c r="AL85" s="225"/>
      <c r="AM85" s="225"/>
      <c r="AN85" s="226" t="s">
        <v>58</v>
      </c>
      <c r="AO85" s="225"/>
      <c r="AP85" s="227"/>
      <c r="AQ85" s="20"/>
      <c r="AS85" s="54" t="s">
        <v>59</v>
      </c>
      <c r="AT85" s="55" t="s">
        <v>60</v>
      </c>
      <c r="AU85" s="55" t="s">
        <v>61</v>
      </c>
      <c r="AV85" s="55" t="s">
        <v>62</v>
      </c>
      <c r="AW85" s="55" t="s">
        <v>63</v>
      </c>
      <c r="AX85" s="55" t="s">
        <v>64</v>
      </c>
      <c r="AY85" s="55" t="s">
        <v>65</v>
      </c>
      <c r="AZ85" s="55" t="s">
        <v>66</v>
      </c>
      <c r="BA85" s="55" t="s">
        <v>67</v>
      </c>
      <c r="BB85" s="55" t="s">
        <v>68</v>
      </c>
      <c r="BC85" s="55" t="s">
        <v>69</v>
      </c>
      <c r="BD85" s="56" t="s">
        <v>70</v>
      </c>
      <c r="BE85" s="57"/>
    </row>
    <row r="86" spans="2:56" s="6" customFormat="1" ht="12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59" t="s">
        <v>71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205">
        <f>AG88+AG89+AG90</f>
        <v>0</v>
      </c>
      <c r="AH87" s="219"/>
      <c r="AI87" s="219"/>
      <c r="AJ87" s="219"/>
      <c r="AK87" s="219"/>
      <c r="AL87" s="219"/>
      <c r="AM87" s="219"/>
      <c r="AN87" s="205">
        <f>AG87*1.21</f>
        <v>0</v>
      </c>
      <c r="AO87" s="219"/>
      <c r="AP87" s="219"/>
      <c r="AQ87" s="51"/>
      <c r="AS87" s="60" t="e">
        <f>ROUND(SUM($AS$89:$AS$90),2)</f>
        <v>#REF!</v>
      </c>
      <c r="AT87" s="61" t="e">
        <f>ROUND(SUM($AV$87:$AW$87),2)</f>
        <v>#REF!</v>
      </c>
      <c r="AU87" s="62" t="e">
        <f>ROUND(SUM($AU$89:$AU$90),5)</f>
        <v>#REF!</v>
      </c>
      <c r="AV87" s="61" t="e">
        <f>ROUND($AZ$87*$L$31,2)</f>
        <v>#REF!</v>
      </c>
      <c r="AW87" s="61" t="e">
        <f>ROUND($BA$87*$L$32,2)</f>
        <v>#REF!</v>
      </c>
      <c r="AX87" s="61" t="e">
        <f>ROUND($BB$87*$L$31,2)</f>
        <v>#REF!</v>
      </c>
      <c r="AY87" s="61" t="e">
        <f>ROUND($BC$87*$L$32,2)</f>
        <v>#REF!</v>
      </c>
      <c r="AZ87" s="61" t="e">
        <f>ROUND(SUM($AZ$89:$AZ$90),2)</f>
        <v>#REF!</v>
      </c>
      <c r="BA87" s="61" t="e">
        <f>ROUND(SUM($BA$89:$BA$90),2)</f>
        <v>#REF!</v>
      </c>
      <c r="BB87" s="61" t="e">
        <f>ROUND(SUM($BB$89:$BB$90),2)</f>
        <v>#REF!</v>
      </c>
      <c r="BC87" s="61" t="e">
        <f>ROUND(SUM($BC$89:$BC$90),2)</f>
        <v>#REF!</v>
      </c>
      <c r="BD87" s="63" t="e">
        <f>ROUND(SUM($BD$89:$BD$90),2)</f>
        <v>#REF!</v>
      </c>
      <c r="BS87" s="49" t="s">
        <v>72</v>
      </c>
      <c r="BT87" s="49" t="s">
        <v>73</v>
      </c>
      <c r="BU87" s="64" t="s">
        <v>74</v>
      </c>
      <c r="BV87" s="49" t="s">
        <v>75</v>
      </c>
      <c r="BW87" s="49" t="s">
        <v>76</v>
      </c>
      <c r="BX87" s="49" t="s">
        <v>77</v>
      </c>
    </row>
    <row r="88" spans="1:76" s="65" customFormat="1" ht="28.5" customHeight="1">
      <c r="A88" s="128" t="s">
        <v>261</v>
      </c>
      <c r="B88" s="66"/>
      <c r="C88" s="67"/>
      <c r="D88" s="217" t="s">
        <v>312</v>
      </c>
      <c r="E88" s="218"/>
      <c r="F88" s="218"/>
      <c r="G88" s="218"/>
      <c r="H88" s="218"/>
      <c r="I88" s="67"/>
      <c r="J88" s="217" t="s">
        <v>313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1">
        <f>odvodnění!M30</f>
        <v>0</v>
      </c>
      <c r="AH88" s="212"/>
      <c r="AI88" s="212"/>
      <c r="AJ88" s="212"/>
      <c r="AK88" s="212"/>
      <c r="AL88" s="212"/>
      <c r="AM88" s="212"/>
      <c r="AN88" s="211">
        <f>AG88*1.21</f>
        <v>0</v>
      </c>
      <c r="AO88" s="212"/>
      <c r="AP88" s="212"/>
      <c r="AQ88" s="68"/>
      <c r="AS88" s="69" t="e">
        <f>#REF!</f>
        <v>#REF!</v>
      </c>
      <c r="AT88" s="70" t="e">
        <f>ROUND(SUM($AV$89:$AW$89),2)</f>
        <v>#REF!</v>
      </c>
      <c r="AU88" s="71" t="e">
        <f>#REF!</f>
        <v>#REF!</v>
      </c>
      <c r="AV88" s="70" t="e">
        <f>#REF!</f>
        <v>#REF!</v>
      </c>
      <c r="AW88" s="70" t="e">
        <f>#REF!</f>
        <v>#REF!</v>
      </c>
      <c r="AX88" s="70" t="e">
        <f>#REF!</f>
        <v>#REF!</v>
      </c>
      <c r="AY88" s="70" t="e">
        <f>#REF!</f>
        <v>#REF!</v>
      </c>
      <c r="AZ88" s="70" t="e">
        <f>#REF!</f>
        <v>#REF!</v>
      </c>
      <c r="BA88" s="70" t="e">
        <f>#REF!</f>
        <v>#REF!</v>
      </c>
      <c r="BB88" s="70" t="e">
        <f>#REF!</f>
        <v>#REF!</v>
      </c>
      <c r="BC88" s="70" t="e">
        <f>#REF!</f>
        <v>#REF!</v>
      </c>
      <c r="BD88" s="72" t="e">
        <f>#REF!</f>
        <v>#REF!</v>
      </c>
      <c r="BT88" s="65" t="s">
        <v>18</v>
      </c>
      <c r="BV88" s="65" t="s">
        <v>75</v>
      </c>
      <c r="BW88" s="65" t="s">
        <v>80</v>
      </c>
      <c r="BX88" s="65" t="s">
        <v>76</v>
      </c>
    </row>
    <row r="89" spans="1:76" s="65" customFormat="1" ht="28.5" customHeight="1">
      <c r="A89" s="128" t="s">
        <v>261</v>
      </c>
      <c r="B89" s="66"/>
      <c r="C89" s="67"/>
      <c r="D89" s="217" t="s">
        <v>78</v>
      </c>
      <c r="E89" s="218"/>
      <c r="F89" s="218"/>
      <c r="G89" s="218"/>
      <c r="H89" s="218"/>
      <c r="I89" s="67"/>
      <c r="J89" s="217" t="s">
        <v>79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1">
        <f>komunikace!M30</f>
        <v>0</v>
      </c>
      <c r="AH89" s="212"/>
      <c r="AI89" s="212"/>
      <c r="AJ89" s="212"/>
      <c r="AK89" s="212"/>
      <c r="AL89" s="212"/>
      <c r="AM89" s="212"/>
      <c r="AN89" s="211">
        <f>AG89*1.21</f>
        <v>0</v>
      </c>
      <c r="AO89" s="212"/>
      <c r="AP89" s="212"/>
      <c r="AQ89" s="68"/>
      <c r="AS89" s="69" t="e">
        <f>#REF!</f>
        <v>#REF!</v>
      </c>
      <c r="AT89" s="70" t="e">
        <f>ROUND(SUM($AV$89:$AW$89),2)</f>
        <v>#REF!</v>
      </c>
      <c r="AU89" s="71" t="e">
        <f>#REF!</f>
        <v>#REF!</v>
      </c>
      <c r="AV89" s="70" t="e">
        <f>#REF!</f>
        <v>#REF!</v>
      </c>
      <c r="AW89" s="70" t="e">
        <f>#REF!</f>
        <v>#REF!</v>
      </c>
      <c r="AX89" s="70" t="e">
        <f>#REF!</f>
        <v>#REF!</v>
      </c>
      <c r="AY89" s="70" t="e">
        <f>#REF!</f>
        <v>#REF!</v>
      </c>
      <c r="AZ89" s="70" t="e">
        <f>#REF!</f>
        <v>#REF!</v>
      </c>
      <c r="BA89" s="70" t="e">
        <f>#REF!</f>
        <v>#REF!</v>
      </c>
      <c r="BB89" s="70" t="e">
        <f>#REF!</f>
        <v>#REF!</v>
      </c>
      <c r="BC89" s="70" t="e">
        <f>#REF!</f>
        <v>#REF!</v>
      </c>
      <c r="BD89" s="72" t="e">
        <f>#REF!</f>
        <v>#REF!</v>
      </c>
      <c r="BT89" s="65" t="s">
        <v>18</v>
      </c>
      <c r="BV89" s="65" t="s">
        <v>75</v>
      </c>
      <c r="BW89" s="65" t="s">
        <v>80</v>
      </c>
      <c r="BX89" s="65" t="s">
        <v>76</v>
      </c>
    </row>
    <row r="90" spans="1:76" s="65" customFormat="1" ht="28.5" customHeight="1">
      <c r="A90" s="128" t="s">
        <v>261</v>
      </c>
      <c r="B90" s="66"/>
      <c r="C90" s="67"/>
      <c r="D90" s="217" t="s">
        <v>81</v>
      </c>
      <c r="E90" s="218"/>
      <c r="F90" s="218"/>
      <c r="G90" s="218"/>
      <c r="H90" s="218"/>
      <c r="I90" s="67"/>
      <c r="J90" s="217" t="s">
        <v>82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1">
        <f>'VRN - Vedlejší rozpočtové...'!$M$30</f>
        <v>0</v>
      </c>
      <c r="AH90" s="212"/>
      <c r="AI90" s="212"/>
      <c r="AJ90" s="212"/>
      <c r="AK90" s="212"/>
      <c r="AL90" s="212"/>
      <c r="AM90" s="212"/>
      <c r="AN90" s="211">
        <f>AG90*1.21</f>
        <v>0</v>
      </c>
      <c r="AO90" s="212"/>
      <c r="AP90" s="212"/>
      <c r="AQ90" s="68"/>
      <c r="AS90" s="73">
        <f>'VRN - Vedlejší rozpočtové...'!$M$28</f>
        <v>0</v>
      </c>
      <c r="AT90" s="74">
        <f>ROUND(SUM($AV$90:$AW$90),2)</f>
        <v>0</v>
      </c>
      <c r="AU90" s="75">
        <f>'VRN - Vedlejší rozpočtové...'!$W$113</f>
        <v>0</v>
      </c>
      <c r="AV90" s="74">
        <f>'VRN - Vedlejší rozpočtové...'!$M$32</f>
        <v>0</v>
      </c>
      <c r="AW90" s="74">
        <f>'VRN - Vedlejší rozpočtové...'!$M$33</f>
        <v>0</v>
      </c>
      <c r="AX90" s="74">
        <f>'VRN - Vedlejší rozpočtové...'!$M$34</f>
        <v>0</v>
      </c>
      <c r="AY90" s="74">
        <f>'VRN - Vedlejší rozpočtové...'!$M$35</f>
        <v>0</v>
      </c>
      <c r="AZ90" s="74">
        <f>'VRN - Vedlejší rozpočtové...'!$H$32</f>
        <v>0</v>
      </c>
      <c r="BA90" s="74">
        <f>'VRN - Vedlejší rozpočtové...'!$H$33</f>
        <v>0</v>
      </c>
      <c r="BB90" s="74">
        <f>'VRN - Vedlejší rozpočtové...'!$H$34</f>
        <v>0</v>
      </c>
      <c r="BC90" s="74">
        <f>'VRN - Vedlejší rozpočtové...'!$H$35</f>
        <v>0</v>
      </c>
      <c r="BD90" s="76">
        <f>'VRN - Vedlejší rozpočtové...'!$H$36</f>
        <v>0</v>
      </c>
      <c r="BT90" s="65" t="s">
        <v>18</v>
      </c>
      <c r="BV90" s="65" t="s">
        <v>75</v>
      </c>
      <c r="BW90" s="65" t="s">
        <v>83</v>
      </c>
      <c r="BX90" s="65" t="s">
        <v>76</v>
      </c>
    </row>
    <row r="91" spans="2:43" s="2" customFormat="1" ht="14.25" customHeight="1">
      <c r="B91" s="10"/>
      <c r="AQ91" s="11"/>
    </row>
    <row r="92" spans="2:49" s="6" customFormat="1" ht="30.75" customHeight="1">
      <c r="B92" s="19"/>
      <c r="C92" s="59" t="s">
        <v>84</v>
      </c>
      <c r="AG92" s="205">
        <v>0</v>
      </c>
      <c r="AH92" s="206"/>
      <c r="AI92" s="206"/>
      <c r="AJ92" s="206"/>
      <c r="AK92" s="206"/>
      <c r="AL92" s="206"/>
      <c r="AM92" s="206"/>
      <c r="AN92" s="205">
        <v>0</v>
      </c>
      <c r="AO92" s="206"/>
      <c r="AP92" s="206"/>
      <c r="AQ92" s="20"/>
      <c r="AS92" s="54" t="s">
        <v>85</v>
      </c>
      <c r="AT92" s="55" t="s">
        <v>86</v>
      </c>
      <c r="AU92" s="55" t="s">
        <v>37</v>
      </c>
      <c r="AV92" s="56" t="s">
        <v>60</v>
      </c>
      <c r="AW92" s="57"/>
    </row>
    <row r="93" spans="2:48" s="6" customFormat="1" ht="12" customHeight="1">
      <c r="B93" s="19"/>
      <c r="AQ93" s="20"/>
      <c r="AS93" s="33"/>
      <c r="AT93" s="33"/>
      <c r="AU93" s="33"/>
      <c r="AV93" s="33"/>
    </row>
    <row r="94" spans="2:43" s="6" customFormat="1" ht="30.75" customHeight="1">
      <c r="B94" s="19"/>
      <c r="C94" s="77" t="s">
        <v>87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07">
        <f>AG87</f>
        <v>0</v>
      </c>
      <c r="AH94" s="208"/>
      <c r="AI94" s="208"/>
      <c r="AJ94" s="208"/>
      <c r="AK94" s="208"/>
      <c r="AL94" s="208"/>
      <c r="AM94" s="208"/>
      <c r="AN94" s="207">
        <f>$AN$87+$AN$92</f>
        <v>0</v>
      </c>
      <c r="AO94" s="208"/>
      <c r="AP94" s="208"/>
      <c r="AQ94" s="20"/>
    </row>
    <row r="95" spans="2:43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3"/>
    </row>
  </sheetData>
  <sheetProtection/>
  <mergeCells count="53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0:H90"/>
    <mergeCell ref="J90:AF90"/>
    <mergeCell ref="AG87:AM87"/>
    <mergeCell ref="AN87:AP87"/>
    <mergeCell ref="AN89:AP89"/>
    <mergeCell ref="AG89:AM89"/>
    <mergeCell ref="D88:H88"/>
    <mergeCell ref="J88:AF88"/>
    <mergeCell ref="AG88:AM88"/>
    <mergeCell ref="AN88:AP88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9" location="'SO02 - SO 02 - Komunikace'!C2" tooltip="SO02 - SO 02 - Komunikace" display="/"/>
    <hyperlink ref="A90" location="'VRN - Vedlejší rozpočtové...'!C2" tooltip="VRN - Vedlejší rozpočtové..." display="/"/>
    <hyperlink ref="A88" location="'SO02 - SO 02 - Komunikace'!C2" tooltip="SO02 - SO 02 - Komunikace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showGridLines="0" zoomScalePageLayoutView="0" workbookViewId="0" topLeftCell="B1">
      <pane ySplit="1" topLeftCell="A141" activePane="bottomLeft" state="frozen"/>
      <selection pane="topLeft" activeCell="A1" sqref="A1"/>
      <selection pane="bottomLeft" activeCell="L156" sqref="L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262</v>
      </c>
      <c r="G1" s="132"/>
      <c r="H1" s="275" t="s">
        <v>263</v>
      </c>
      <c r="I1" s="275"/>
      <c r="J1" s="275"/>
      <c r="K1" s="275"/>
      <c r="L1" s="132" t="s">
        <v>264</v>
      </c>
      <c r="M1" s="130"/>
      <c r="N1" s="130"/>
      <c r="O1" s="131" t="s">
        <v>88</v>
      </c>
      <c r="P1" s="130"/>
      <c r="Q1" s="130"/>
      <c r="R1" s="130"/>
      <c r="S1" s="132" t="s">
        <v>265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6" t="s">
        <v>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09" t="s">
        <v>5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89</v>
      </c>
    </row>
    <row r="4" spans="2:46" s="2" customFormat="1" ht="37.5" customHeight="1">
      <c r="B4" s="10"/>
      <c r="C4" s="230" t="s">
        <v>90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67" t="str">
        <f>'Rekapitulace stavby'!$K$6</f>
        <v>REKONSTRUKCE KOMUNIKACE části ul.Hlavní v úseku mezi ulicemi Sportovců a Na Výsluní, Psáry- k.ú. Dolní Jirčany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11"/>
    </row>
    <row r="7" spans="2:18" s="6" customFormat="1" ht="33.75" customHeight="1">
      <c r="B7" s="19"/>
      <c r="D7" s="15" t="s">
        <v>91</v>
      </c>
      <c r="F7" s="276" t="s">
        <v>309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R7" s="20"/>
    </row>
    <row r="8" spans="2:18" s="6" customFormat="1" ht="15" customHeight="1">
      <c r="B8" s="19"/>
      <c r="D8" s="16" t="s">
        <v>16</v>
      </c>
      <c r="F8" s="14" t="s">
        <v>144</v>
      </c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73" t="s">
        <v>317</v>
      </c>
      <c r="P9" s="27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223" t="s">
        <v>26</v>
      </c>
      <c r="P11" s="206"/>
      <c r="R11" s="20"/>
    </row>
    <row r="12" spans="2:18" s="6" customFormat="1" ht="18.75" customHeight="1">
      <c r="B12" s="19"/>
      <c r="E12" s="14" t="s">
        <v>27</v>
      </c>
      <c r="M12" s="16" t="s">
        <v>28</v>
      </c>
      <c r="O12" s="223"/>
      <c r="P12" s="20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25</v>
      </c>
      <c r="O14" s="223">
        <f>IF('Rekapitulace stavby'!$AN$13="","",'Rekapitulace stavby'!$AN$13)</f>
      </c>
      <c r="P14" s="206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223">
        <f>IF('Rekapitulace stavby'!$AN$14="","",'Rekapitulace stavby'!$AN$14)</f>
      </c>
      <c r="P15" s="20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25</v>
      </c>
      <c r="O17" s="223"/>
      <c r="P17" s="206"/>
      <c r="R17" s="20"/>
    </row>
    <row r="18" spans="2:18" s="6" customFormat="1" ht="18.75" customHeight="1">
      <c r="B18" s="19"/>
      <c r="E18" s="135" t="s">
        <v>267</v>
      </c>
      <c r="M18" s="16" t="s">
        <v>28</v>
      </c>
      <c r="O18" s="223"/>
      <c r="P18" s="20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223">
        <f>IF('Rekapitulace stavby'!$AN$19="","",'Rekapitulace stavby'!$AN$19)</f>
      </c>
      <c r="P20" s="206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223">
        <f>IF('Rekapitulace stavby'!$AN$20="","",'Rekapitulace stavby'!$AN$20)</f>
      </c>
      <c r="P21" s="206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8" customFormat="1" ht="15.75" customHeight="1">
      <c r="B24" s="79"/>
      <c r="E24" s="236"/>
      <c r="F24" s="272"/>
      <c r="G24" s="272"/>
      <c r="H24" s="272"/>
      <c r="I24" s="272"/>
      <c r="J24" s="272"/>
      <c r="K24" s="272"/>
      <c r="L24" s="272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1" t="s">
        <v>92</v>
      </c>
      <c r="M27" s="213">
        <f>$N$88</f>
        <v>0</v>
      </c>
      <c r="N27" s="206"/>
      <c r="O27" s="206"/>
      <c r="P27" s="206"/>
      <c r="R27" s="20"/>
    </row>
    <row r="28" spans="2:18" s="6" customFormat="1" ht="15" customHeight="1">
      <c r="B28" s="19"/>
      <c r="D28" s="18" t="s">
        <v>93</v>
      </c>
      <c r="M28" s="213">
        <f>$N$96</f>
        <v>0</v>
      </c>
      <c r="N28" s="206"/>
      <c r="O28" s="206"/>
      <c r="P28" s="206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36</v>
      </c>
      <c r="M30" s="271">
        <f>ROUND($M$27+$M$28,2)</f>
        <v>0</v>
      </c>
      <c r="N30" s="206"/>
      <c r="O30" s="206"/>
      <c r="P30" s="206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3" t="s">
        <v>39</v>
      </c>
      <c r="H32" s="270">
        <f>M27</f>
        <v>0</v>
      </c>
      <c r="I32" s="206"/>
      <c r="J32" s="206"/>
      <c r="M32" s="270">
        <f>H32*0.21</f>
        <v>0</v>
      </c>
      <c r="N32" s="206"/>
      <c r="O32" s="206"/>
      <c r="P32" s="206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3" t="s">
        <v>39</v>
      </c>
      <c r="H33" s="270" t="e">
        <f>ROUND((SUM($BF$96:$BF$97)+SUM($BF$115:$BF$153)),2)</f>
        <v>#REF!</v>
      </c>
      <c r="I33" s="206"/>
      <c r="J33" s="206"/>
      <c r="M33" s="270" t="e">
        <f>ROUND(ROUND((SUM($BF$96:$BF$97)+SUM($BF$115:$BF$153)),2)*$F$33,2)</f>
        <v>#REF!</v>
      </c>
      <c r="N33" s="206"/>
      <c r="O33" s="206"/>
      <c r="P33" s="206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3" t="s">
        <v>39</v>
      </c>
      <c r="H34" s="270" t="e">
        <f>ROUND((SUM($BG$96:$BG$97)+SUM($BG$115:$BG$153)),2)</f>
        <v>#REF!</v>
      </c>
      <c r="I34" s="206"/>
      <c r="J34" s="206"/>
      <c r="M34" s="270">
        <v>0</v>
      </c>
      <c r="N34" s="206"/>
      <c r="O34" s="206"/>
      <c r="P34" s="206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3" t="s">
        <v>39</v>
      </c>
      <c r="H35" s="270" t="e">
        <f>ROUND((SUM($BH$96:$BH$97)+SUM($BH$115:$BH$153)),2)</f>
        <v>#REF!</v>
      </c>
      <c r="I35" s="206"/>
      <c r="J35" s="206"/>
      <c r="M35" s="270">
        <v>0</v>
      </c>
      <c r="N35" s="206"/>
      <c r="O35" s="206"/>
      <c r="P35" s="206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3" t="s">
        <v>39</v>
      </c>
      <c r="H36" s="270" t="e">
        <f>ROUND((SUM($BI$96:$BI$97)+SUM($BI$115:$BI$153)),2)</f>
        <v>#REF!</v>
      </c>
      <c r="I36" s="206"/>
      <c r="J36" s="206"/>
      <c r="M36" s="270">
        <v>0</v>
      </c>
      <c r="N36" s="206"/>
      <c r="O36" s="206"/>
      <c r="P36" s="206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4" t="s">
        <v>45</v>
      </c>
      <c r="H38" s="31" t="s">
        <v>46</v>
      </c>
      <c r="I38" s="30"/>
      <c r="J38" s="30"/>
      <c r="K38" s="30"/>
      <c r="L38" s="229">
        <f>M30+M32</f>
        <v>0</v>
      </c>
      <c r="M38" s="225"/>
      <c r="N38" s="225"/>
      <c r="O38" s="225"/>
      <c r="P38" s="227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30" t="s">
        <v>94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67" t="str">
        <f>$F$6</f>
        <v>REKONSTRUKCE KOMUNIKACE části ul.Hlavní v úseku mezi ulicemi Sportovců a Na Výsluní, Psáry- k.ú. Dolní Jirčany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20"/>
    </row>
    <row r="79" spans="2:18" s="6" customFormat="1" ht="37.5" customHeight="1">
      <c r="B79" s="19"/>
      <c r="C79" s="49" t="s">
        <v>91</v>
      </c>
      <c r="F79" s="231" t="str">
        <f>$F$7</f>
        <v>SO-01 Odvodnění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61" t="str">
        <f>IF($O$9="","",$O$9)</f>
        <v>duben 2017</v>
      </c>
      <c r="N81" s="206"/>
      <c r="O81" s="206"/>
      <c r="P81" s="20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Obec Psáry</v>
      </c>
      <c r="K83" s="16" t="s">
        <v>30</v>
      </c>
      <c r="M83" s="223" t="str">
        <f>$E$18</f>
        <v>ing.Jiří Nádvorník -TOK</v>
      </c>
      <c r="N83" s="206"/>
      <c r="O83" s="206"/>
      <c r="P83" s="206"/>
      <c r="Q83" s="206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223" t="str">
        <f>$E$21</f>
        <v> </v>
      </c>
      <c r="N84" s="206"/>
      <c r="O84" s="206"/>
      <c r="P84" s="206"/>
      <c r="Q84" s="20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69" t="s">
        <v>95</v>
      </c>
      <c r="D86" s="208"/>
      <c r="E86" s="208"/>
      <c r="F86" s="208"/>
      <c r="G86" s="208"/>
      <c r="H86" s="28"/>
      <c r="I86" s="28"/>
      <c r="J86" s="28"/>
      <c r="K86" s="28"/>
      <c r="L86" s="28"/>
      <c r="M86" s="28"/>
      <c r="N86" s="269" t="s">
        <v>96</v>
      </c>
      <c r="O86" s="206"/>
      <c r="P86" s="206"/>
      <c r="Q86" s="20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97</v>
      </c>
      <c r="N88" s="205">
        <f>$N$115</f>
        <v>0</v>
      </c>
      <c r="O88" s="206"/>
      <c r="P88" s="206"/>
      <c r="Q88" s="206"/>
      <c r="R88" s="20"/>
      <c r="AU88" s="6" t="s">
        <v>98</v>
      </c>
    </row>
    <row r="89" spans="2:18" s="64" customFormat="1" ht="25.5" customHeight="1">
      <c r="B89" s="85"/>
      <c r="D89" s="86" t="s">
        <v>99</v>
      </c>
      <c r="N89" s="268">
        <f>$N$116</f>
        <v>0</v>
      </c>
      <c r="O89" s="266"/>
      <c r="P89" s="266"/>
      <c r="Q89" s="266"/>
      <c r="R89" s="87"/>
    </row>
    <row r="90" spans="2:18" s="81" customFormat="1" ht="21" customHeight="1">
      <c r="B90" s="88"/>
      <c r="D90" s="89" t="s">
        <v>100</v>
      </c>
      <c r="N90" s="265">
        <f>$N$117</f>
        <v>0</v>
      </c>
      <c r="O90" s="266"/>
      <c r="P90" s="266"/>
      <c r="Q90" s="266"/>
      <c r="R90" s="90"/>
    </row>
    <row r="91" spans="2:18" s="81" customFormat="1" ht="21" customHeight="1">
      <c r="B91" s="88"/>
      <c r="D91" s="89" t="s">
        <v>101</v>
      </c>
      <c r="N91" s="265">
        <f>$N$128</f>
        <v>0</v>
      </c>
      <c r="O91" s="266"/>
      <c r="P91" s="266"/>
      <c r="Q91" s="266"/>
      <c r="R91" s="90"/>
    </row>
    <row r="92" spans="2:18" s="81" customFormat="1" ht="21" customHeight="1">
      <c r="B92" s="88"/>
      <c r="D92" s="89" t="s">
        <v>102</v>
      </c>
      <c r="N92" s="265">
        <f>$N$134</f>
        <v>0</v>
      </c>
      <c r="O92" s="266"/>
      <c r="P92" s="266"/>
      <c r="Q92" s="266"/>
      <c r="R92" s="90"/>
    </row>
    <row r="93" spans="2:18" s="81" customFormat="1" ht="21" customHeight="1">
      <c r="B93" s="88"/>
      <c r="D93" s="89" t="s">
        <v>103</v>
      </c>
      <c r="N93" s="265">
        <f>$N$142</f>
        <v>0</v>
      </c>
      <c r="O93" s="266"/>
      <c r="P93" s="266"/>
      <c r="Q93" s="266"/>
      <c r="R93" s="90"/>
    </row>
    <row r="94" spans="2:18" s="81" customFormat="1" ht="21" customHeight="1">
      <c r="B94" s="88"/>
      <c r="D94" s="89" t="s">
        <v>145</v>
      </c>
      <c r="N94" s="265">
        <f>$N$151</f>
        <v>0</v>
      </c>
      <c r="O94" s="266"/>
      <c r="P94" s="266"/>
      <c r="Q94" s="266"/>
      <c r="R94" s="90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59" t="s">
        <v>105</v>
      </c>
      <c r="N96" s="205">
        <v>0</v>
      </c>
      <c r="O96" s="206"/>
      <c r="P96" s="206"/>
      <c r="Q96" s="206"/>
      <c r="R96" s="20"/>
      <c r="T96" s="91"/>
      <c r="U96" s="92" t="s">
        <v>37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7" t="s">
        <v>87</v>
      </c>
      <c r="D98" s="28"/>
      <c r="E98" s="28"/>
      <c r="F98" s="28"/>
      <c r="G98" s="28"/>
      <c r="H98" s="28"/>
      <c r="I98" s="28"/>
      <c r="J98" s="28"/>
      <c r="K98" s="28"/>
      <c r="L98" s="207">
        <f>ROUND(SUM($N$88+$N$96),2)</f>
        <v>0</v>
      </c>
      <c r="M98" s="208"/>
      <c r="N98" s="208"/>
      <c r="O98" s="208"/>
      <c r="P98" s="208"/>
      <c r="Q98" s="208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230" t="s">
        <v>106</v>
      </c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267" t="str">
        <f>$F$6</f>
        <v>REKONSTRUKCE KOMUNIKACE části ul.Hlavní v úseku mezi ulicemi Sportovců a Na Výsluní, Psáry- k.ú. Dolní Jirčany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R106" s="20"/>
    </row>
    <row r="107" spans="2:18" s="6" customFormat="1" ht="37.5" customHeight="1">
      <c r="B107" s="19"/>
      <c r="C107" s="49" t="s">
        <v>91</v>
      </c>
      <c r="F107" s="231" t="str">
        <f>$F$7</f>
        <v>SO-01 Odvodnění</v>
      </c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19</v>
      </c>
      <c r="F109" s="14" t="str">
        <f>$F$9</f>
        <v> </v>
      </c>
      <c r="K109" s="16" t="s">
        <v>21</v>
      </c>
      <c r="M109" s="261" t="str">
        <f>IF($O$9="","",$O$9)</f>
        <v>duben 2017</v>
      </c>
      <c r="N109" s="206"/>
      <c r="O109" s="206"/>
      <c r="P109" s="206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24</v>
      </c>
      <c r="F111" s="14" t="str">
        <f>$E$12</f>
        <v>Obec Psáry</v>
      </c>
      <c r="K111" s="16" t="s">
        <v>30</v>
      </c>
      <c r="M111" s="223" t="str">
        <f>$E$18</f>
        <v>ing.Jiří Nádvorník -TOK</v>
      </c>
      <c r="N111" s="206"/>
      <c r="O111" s="206"/>
      <c r="P111" s="206"/>
      <c r="Q111" s="206"/>
      <c r="R111" s="20"/>
    </row>
    <row r="112" spans="2:18" s="6" customFormat="1" ht="15" customHeight="1">
      <c r="B112" s="19"/>
      <c r="C112" s="16" t="s">
        <v>29</v>
      </c>
      <c r="F112" s="14" t="str">
        <f>IF($E$15="","",$E$15)</f>
        <v> </v>
      </c>
      <c r="K112" s="16" t="s">
        <v>32</v>
      </c>
      <c r="M112" s="223" t="str">
        <f>$E$21</f>
        <v> </v>
      </c>
      <c r="N112" s="206"/>
      <c r="O112" s="206"/>
      <c r="P112" s="206"/>
      <c r="Q112" s="206"/>
      <c r="R112" s="20"/>
    </row>
    <row r="113" spans="2:18" s="6" customFormat="1" ht="11.25" customHeight="1">
      <c r="B113" s="19"/>
      <c r="R113" s="20"/>
    </row>
    <row r="114" spans="2:27" s="93" customFormat="1" ht="30" customHeight="1">
      <c r="B114" s="94"/>
      <c r="C114" s="95" t="s">
        <v>107</v>
      </c>
      <c r="D114" s="96" t="s">
        <v>108</v>
      </c>
      <c r="E114" s="96" t="s">
        <v>55</v>
      </c>
      <c r="F114" s="262" t="s">
        <v>109</v>
      </c>
      <c r="G114" s="263"/>
      <c r="H114" s="263"/>
      <c r="I114" s="263"/>
      <c r="J114" s="96" t="s">
        <v>110</v>
      </c>
      <c r="K114" s="96" t="s">
        <v>111</v>
      </c>
      <c r="L114" s="262" t="s">
        <v>112</v>
      </c>
      <c r="M114" s="263"/>
      <c r="N114" s="262" t="s">
        <v>113</v>
      </c>
      <c r="O114" s="263"/>
      <c r="P114" s="263"/>
      <c r="Q114" s="264"/>
      <c r="R114" s="97"/>
      <c r="T114" s="54" t="s">
        <v>114</v>
      </c>
      <c r="U114" s="55" t="s">
        <v>37</v>
      </c>
      <c r="V114" s="55" t="s">
        <v>115</v>
      </c>
      <c r="W114" s="55" t="s">
        <v>116</v>
      </c>
      <c r="X114" s="55" t="s">
        <v>117</v>
      </c>
      <c r="Y114" s="55" t="s">
        <v>118</v>
      </c>
      <c r="Z114" s="55" t="s">
        <v>119</v>
      </c>
      <c r="AA114" s="56" t="s">
        <v>120</v>
      </c>
    </row>
    <row r="115" spans="2:63" s="6" customFormat="1" ht="30" customHeight="1">
      <c r="B115" s="19"/>
      <c r="C115" s="59" t="s">
        <v>92</v>
      </c>
      <c r="N115" s="257">
        <f>N116</f>
        <v>0</v>
      </c>
      <c r="O115" s="206"/>
      <c r="P115" s="206"/>
      <c r="Q115" s="206"/>
      <c r="R115" s="20"/>
      <c r="T115" s="58"/>
      <c r="U115" s="33"/>
      <c r="V115" s="33"/>
      <c r="W115" s="98" t="e">
        <f>$W$116</f>
        <v>#REF!</v>
      </c>
      <c r="X115" s="33"/>
      <c r="Y115" s="98" t="e">
        <f>$Y$116</f>
        <v>#REF!</v>
      </c>
      <c r="Z115" s="33"/>
      <c r="AA115" s="99" t="e">
        <f>$AA$116</f>
        <v>#REF!</v>
      </c>
      <c r="AT115" s="6" t="s">
        <v>72</v>
      </c>
      <c r="AU115" s="6" t="s">
        <v>98</v>
      </c>
      <c r="BK115" s="100" t="e">
        <f>$BK$116</f>
        <v>#REF!</v>
      </c>
    </row>
    <row r="116" spans="2:63" s="101" customFormat="1" ht="37.5" customHeight="1">
      <c r="B116" s="102"/>
      <c r="D116" s="103" t="s">
        <v>99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258">
        <f>N117+N128+N134+N142+N151</f>
        <v>0</v>
      </c>
      <c r="O116" s="259"/>
      <c r="P116" s="259"/>
      <c r="Q116" s="259"/>
      <c r="R116" s="105"/>
      <c r="T116" s="106"/>
      <c r="W116" s="107" t="e">
        <f>$W$117+$W$128+$W$134+$W$142+$W$151</f>
        <v>#REF!</v>
      </c>
      <c r="Y116" s="107" t="e">
        <f>$Y$117+$Y$128+$Y$134+$Y$142+$Y$151</f>
        <v>#REF!</v>
      </c>
      <c r="AA116" s="108" t="e">
        <f>$AA$117+$AA$128+$AA$134+$AA$142+$AA$151</f>
        <v>#REF!</v>
      </c>
      <c r="AR116" s="104" t="s">
        <v>18</v>
      </c>
      <c r="AT116" s="104" t="s">
        <v>72</v>
      </c>
      <c r="AU116" s="104" t="s">
        <v>73</v>
      </c>
      <c r="AY116" s="104" t="s">
        <v>121</v>
      </c>
      <c r="BK116" s="109" t="e">
        <f>$BK$117+$BK$128+$BK$134+$BK$142+$BK$151</f>
        <v>#REF!</v>
      </c>
    </row>
    <row r="117" spans="2:63" s="101" customFormat="1" ht="21" customHeight="1">
      <c r="B117" s="102"/>
      <c r="D117" s="110" t="s">
        <v>100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260">
        <f>SUM(N118:Q127)</f>
        <v>0</v>
      </c>
      <c r="O117" s="259"/>
      <c r="P117" s="259"/>
      <c r="Q117" s="259"/>
      <c r="R117" s="105"/>
      <c r="T117" s="106"/>
      <c r="W117" s="107" t="e">
        <f>SUM($W$118:$W$127)</f>
        <v>#REF!</v>
      </c>
      <c r="Y117" s="107" t="e">
        <f>SUM($Y$118:$Y$127)</f>
        <v>#REF!</v>
      </c>
      <c r="AA117" s="108" t="e">
        <f>SUM($AA$118:$AA$127)</f>
        <v>#REF!</v>
      </c>
      <c r="AR117" s="104" t="s">
        <v>18</v>
      </c>
      <c r="AT117" s="104" t="s">
        <v>72</v>
      </c>
      <c r="AU117" s="104" t="s">
        <v>18</v>
      </c>
      <c r="AY117" s="104" t="s">
        <v>121</v>
      </c>
      <c r="BK117" s="109" t="e">
        <f>SUM($BK$118:$BK$127)</f>
        <v>#REF!</v>
      </c>
    </row>
    <row r="118" spans="2:51" s="6" customFormat="1" ht="18.75" customHeight="1">
      <c r="B118" s="119"/>
      <c r="E118" s="120"/>
      <c r="F118" s="255"/>
      <c r="G118" s="256"/>
      <c r="H118" s="256"/>
      <c r="I118" s="256"/>
      <c r="K118" s="121"/>
      <c r="R118" s="122"/>
      <c r="T118" s="123"/>
      <c r="AA118" s="124"/>
      <c r="AT118" s="120" t="s">
        <v>128</v>
      </c>
      <c r="AU118" s="120" t="s">
        <v>89</v>
      </c>
      <c r="AV118" s="120" t="s">
        <v>89</v>
      </c>
      <c r="AW118" s="120" t="s">
        <v>98</v>
      </c>
      <c r="AX118" s="120" t="s">
        <v>18</v>
      </c>
      <c r="AY118" s="120" t="s">
        <v>121</v>
      </c>
    </row>
    <row r="119" spans="2:65" s="137" customFormat="1" ht="24.75" customHeight="1">
      <c r="B119" s="138"/>
      <c r="C119" s="139">
        <v>3</v>
      </c>
      <c r="D119" s="139" t="s">
        <v>122</v>
      </c>
      <c r="E119" s="140" t="s">
        <v>151</v>
      </c>
      <c r="F119" s="241" t="s">
        <v>275</v>
      </c>
      <c r="G119" s="242"/>
      <c r="H119" s="242"/>
      <c r="I119" s="242"/>
      <c r="J119" s="141" t="s">
        <v>125</v>
      </c>
      <c r="K119" s="142">
        <v>160</v>
      </c>
      <c r="L119" s="243"/>
      <c r="M119" s="242"/>
      <c r="N119" s="243">
        <f>ROUND($L$119*$K$119,2)</f>
        <v>0</v>
      </c>
      <c r="O119" s="242"/>
      <c r="P119" s="242"/>
      <c r="Q119" s="242"/>
      <c r="R119" s="143"/>
      <c r="T119" s="144"/>
      <c r="U119" s="145" t="s">
        <v>38</v>
      </c>
      <c r="V119" s="146">
        <v>0.227</v>
      </c>
      <c r="W119" s="146">
        <f>$V$119*$K$119</f>
        <v>36.32</v>
      </c>
      <c r="X119" s="146">
        <v>0</v>
      </c>
      <c r="Y119" s="146">
        <f>$X$119*$K$119</f>
        <v>0</v>
      </c>
      <c r="Z119" s="146">
        <v>0.23</v>
      </c>
      <c r="AA119" s="147">
        <f>$Z$119*$K$119</f>
        <v>36.800000000000004</v>
      </c>
      <c r="AR119" s="137" t="s">
        <v>123</v>
      </c>
      <c r="AT119" s="137" t="s">
        <v>122</v>
      </c>
      <c r="AU119" s="137" t="s">
        <v>89</v>
      </c>
      <c r="AY119" s="137" t="s">
        <v>121</v>
      </c>
      <c r="BE119" s="148">
        <f>IF($U$119="základní",$N$119,0)</f>
        <v>0</v>
      </c>
      <c r="BF119" s="148">
        <f>IF($U$119="snížená",$N$119,0)</f>
        <v>0</v>
      </c>
      <c r="BG119" s="148">
        <f>IF($U$119="zákl. přenesená",$N$119,0)</f>
        <v>0</v>
      </c>
      <c r="BH119" s="148">
        <f>IF($U$119="sníž. přenesená",$N$119,0)</f>
        <v>0</v>
      </c>
      <c r="BI119" s="148">
        <f>IF($U$119="nulová",$N$119,0)</f>
        <v>0</v>
      </c>
      <c r="BJ119" s="137" t="s">
        <v>18</v>
      </c>
      <c r="BK119" s="148">
        <f>ROUND($L$119*$K$119,2)</f>
        <v>0</v>
      </c>
      <c r="BL119" s="137" t="s">
        <v>123</v>
      </c>
      <c r="BM119" s="137" t="s">
        <v>152</v>
      </c>
    </row>
    <row r="120" spans="2:51" s="137" customFormat="1" ht="18.75" customHeight="1">
      <c r="B120" s="149"/>
      <c r="E120" s="150"/>
      <c r="F120" s="237" t="s">
        <v>276</v>
      </c>
      <c r="G120" s="238"/>
      <c r="H120" s="238"/>
      <c r="I120" s="238"/>
      <c r="K120" s="151">
        <v>240</v>
      </c>
      <c r="R120" s="152"/>
      <c r="T120" s="153"/>
      <c r="AA120" s="154"/>
      <c r="AT120" s="150" t="s">
        <v>128</v>
      </c>
      <c r="AU120" s="150" t="s">
        <v>89</v>
      </c>
      <c r="AV120" s="150" t="s">
        <v>89</v>
      </c>
      <c r="AW120" s="150" t="s">
        <v>98</v>
      </c>
      <c r="AX120" s="150" t="s">
        <v>18</v>
      </c>
      <c r="AY120" s="150" t="s">
        <v>121</v>
      </c>
    </row>
    <row r="121" spans="2:65" s="137" customFormat="1" ht="27" customHeight="1">
      <c r="B121" s="138"/>
      <c r="C121" s="139">
        <v>7</v>
      </c>
      <c r="D121" s="139" t="s">
        <v>122</v>
      </c>
      <c r="E121" s="140" t="s">
        <v>162</v>
      </c>
      <c r="F121" s="241" t="s">
        <v>163</v>
      </c>
      <c r="G121" s="242"/>
      <c r="H121" s="242"/>
      <c r="I121" s="242"/>
      <c r="J121" s="141" t="s">
        <v>127</v>
      </c>
      <c r="K121" s="142">
        <f>0.6*0.2*160</f>
        <v>19.2</v>
      </c>
      <c r="L121" s="243"/>
      <c r="M121" s="242"/>
      <c r="N121" s="243">
        <f>K121*L121</f>
        <v>0</v>
      </c>
      <c r="O121" s="242"/>
      <c r="P121" s="242"/>
      <c r="Q121" s="242"/>
      <c r="R121" s="143"/>
      <c r="T121" s="144"/>
      <c r="U121" s="145" t="s">
        <v>38</v>
      </c>
      <c r="V121" s="146">
        <v>2.32</v>
      </c>
      <c r="W121" s="146" t="e">
        <f>#REF!*#REF!</f>
        <v>#REF!</v>
      </c>
      <c r="X121" s="146">
        <v>0</v>
      </c>
      <c r="Y121" s="146" t="e">
        <f>#REF!*#REF!</f>
        <v>#REF!</v>
      </c>
      <c r="Z121" s="146">
        <v>0</v>
      </c>
      <c r="AA121" s="147" t="e">
        <f>#REF!*#REF!</f>
        <v>#REF!</v>
      </c>
      <c r="AR121" s="137" t="s">
        <v>123</v>
      </c>
      <c r="AT121" s="137" t="s">
        <v>122</v>
      </c>
      <c r="AU121" s="137" t="s">
        <v>89</v>
      </c>
      <c r="AY121" s="137" t="s">
        <v>121</v>
      </c>
      <c r="BE121" s="148" t="e">
        <f>IF(#REF!="základní",#REF!,0)</f>
        <v>#REF!</v>
      </c>
      <c r="BF121" s="148" t="e">
        <f>IF(#REF!="snížená",#REF!,0)</f>
        <v>#REF!</v>
      </c>
      <c r="BG121" s="148" t="e">
        <f>IF(#REF!="zákl. přenesená",#REF!,0)</f>
        <v>#REF!</v>
      </c>
      <c r="BH121" s="148" t="e">
        <f>IF(#REF!="sníž. přenesená",#REF!,0)</f>
        <v>#REF!</v>
      </c>
      <c r="BI121" s="148" t="e">
        <f>IF(#REF!="nulová",#REF!,0)</f>
        <v>#REF!</v>
      </c>
      <c r="BJ121" s="137" t="s">
        <v>18</v>
      </c>
      <c r="BK121" s="148" t="e">
        <f>ROUND(#REF!*#REF!,2)</f>
        <v>#REF!</v>
      </c>
      <c r="BL121" s="137" t="s">
        <v>123</v>
      </c>
      <c r="BM121" s="137" t="s">
        <v>164</v>
      </c>
    </row>
    <row r="122" spans="2:51" s="137" customFormat="1" ht="18.75" customHeight="1">
      <c r="B122" s="149"/>
      <c r="E122" s="150"/>
      <c r="F122" s="244" t="s">
        <v>279</v>
      </c>
      <c r="G122" s="238"/>
      <c r="H122" s="238"/>
      <c r="I122" s="238"/>
      <c r="K122" s="151"/>
      <c r="R122" s="152"/>
      <c r="T122" s="153"/>
      <c r="AA122" s="154"/>
      <c r="AT122" s="150" t="s">
        <v>128</v>
      </c>
      <c r="AU122" s="150" t="s">
        <v>89</v>
      </c>
      <c r="AV122" s="150" t="s">
        <v>89</v>
      </c>
      <c r="AW122" s="150" t="s">
        <v>98</v>
      </c>
      <c r="AX122" s="150" t="s">
        <v>18</v>
      </c>
      <c r="AY122" s="150" t="s">
        <v>121</v>
      </c>
    </row>
    <row r="123" spans="2:65" s="137" customFormat="1" ht="27" customHeight="1">
      <c r="B123" s="138"/>
      <c r="C123" s="139">
        <v>8</v>
      </c>
      <c r="D123" s="139" t="s">
        <v>122</v>
      </c>
      <c r="E123" s="140" t="s">
        <v>131</v>
      </c>
      <c r="F123" s="248" t="s">
        <v>308</v>
      </c>
      <c r="G123" s="242"/>
      <c r="H123" s="242"/>
      <c r="I123" s="242"/>
      <c r="J123" s="141" t="s">
        <v>127</v>
      </c>
      <c r="K123" s="142">
        <f>K121</f>
        <v>19.2</v>
      </c>
      <c r="L123" s="243"/>
      <c r="M123" s="242"/>
      <c r="N123" s="243">
        <f>K123*L123</f>
        <v>0</v>
      </c>
      <c r="O123" s="242"/>
      <c r="P123" s="242"/>
      <c r="Q123" s="242"/>
      <c r="R123" s="143"/>
      <c r="T123" s="144"/>
      <c r="U123" s="145" t="s">
        <v>38</v>
      </c>
      <c r="V123" s="146">
        <v>0.083</v>
      </c>
      <c r="W123" s="146">
        <f>$V$123*$K$123</f>
        <v>1.5936000000000001</v>
      </c>
      <c r="X123" s="146">
        <v>0</v>
      </c>
      <c r="Y123" s="146">
        <f>$X$123*$K$123</f>
        <v>0</v>
      </c>
      <c r="Z123" s="146">
        <v>0</v>
      </c>
      <c r="AA123" s="147">
        <f>$Z$123*$K$123</f>
        <v>0</v>
      </c>
      <c r="AR123" s="137" t="s">
        <v>123</v>
      </c>
      <c r="AT123" s="137" t="s">
        <v>122</v>
      </c>
      <c r="AU123" s="137" t="s">
        <v>89</v>
      </c>
      <c r="AY123" s="137" t="s">
        <v>121</v>
      </c>
      <c r="BE123" s="148">
        <f>IF($U$123="základní",$N$123,0)</f>
        <v>0</v>
      </c>
      <c r="BF123" s="148">
        <f>IF($U$123="snížená",$N$123,0)</f>
        <v>0</v>
      </c>
      <c r="BG123" s="148">
        <f>IF($U$123="zákl. přenesená",$N$123,0)</f>
        <v>0</v>
      </c>
      <c r="BH123" s="148">
        <f>IF($U$123="sníž. přenesená",$N$123,0)</f>
        <v>0</v>
      </c>
      <c r="BI123" s="148">
        <f>IF($U$123="nulová",$N$123,0)</f>
        <v>0</v>
      </c>
      <c r="BJ123" s="137" t="s">
        <v>18</v>
      </c>
      <c r="BK123" s="148">
        <f>ROUND($L$123*$K$123,2)</f>
        <v>0</v>
      </c>
      <c r="BL123" s="137" t="s">
        <v>123</v>
      </c>
      <c r="BM123" s="137" t="s">
        <v>165</v>
      </c>
    </row>
    <row r="124" spans="2:47" s="137" customFormat="1" ht="18.75" customHeight="1">
      <c r="B124" s="138"/>
      <c r="F124" s="253" t="s">
        <v>132</v>
      </c>
      <c r="G124" s="254"/>
      <c r="H124" s="254"/>
      <c r="I124" s="254"/>
      <c r="R124" s="143"/>
      <c r="T124" s="155"/>
      <c r="AA124" s="156"/>
      <c r="AT124" s="137" t="s">
        <v>133</v>
      </c>
      <c r="AU124" s="137" t="s">
        <v>89</v>
      </c>
    </row>
    <row r="125" spans="2:51" s="137" customFormat="1" ht="18.75" customHeight="1">
      <c r="B125" s="149"/>
      <c r="E125" s="150"/>
      <c r="F125" s="244"/>
      <c r="G125" s="238"/>
      <c r="H125" s="238"/>
      <c r="I125" s="238"/>
      <c r="K125" s="151"/>
      <c r="R125" s="152"/>
      <c r="T125" s="153"/>
      <c r="AA125" s="154"/>
      <c r="AT125" s="150" t="s">
        <v>128</v>
      </c>
      <c r="AU125" s="150" t="s">
        <v>89</v>
      </c>
      <c r="AV125" s="150" t="s">
        <v>89</v>
      </c>
      <c r="AW125" s="150" t="s">
        <v>98</v>
      </c>
      <c r="AX125" s="150" t="s">
        <v>18</v>
      </c>
      <c r="AY125" s="150" t="s">
        <v>121</v>
      </c>
    </row>
    <row r="126" spans="2:65" s="137" customFormat="1" ht="27" customHeight="1">
      <c r="B126" s="138"/>
      <c r="C126" s="139">
        <v>9</v>
      </c>
      <c r="D126" s="139" t="s">
        <v>122</v>
      </c>
      <c r="E126" s="140" t="s">
        <v>134</v>
      </c>
      <c r="F126" s="241" t="s">
        <v>135</v>
      </c>
      <c r="G126" s="242"/>
      <c r="H126" s="242"/>
      <c r="I126" s="242"/>
      <c r="J126" s="141" t="s">
        <v>136</v>
      </c>
      <c r="K126" s="142">
        <f>K127</f>
        <v>34.56</v>
      </c>
      <c r="L126" s="243"/>
      <c r="M126" s="242"/>
      <c r="N126" s="243">
        <f>ROUND($L$126*$K$126,2)</f>
        <v>0</v>
      </c>
      <c r="O126" s="242"/>
      <c r="P126" s="242"/>
      <c r="Q126" s="242"/>
      <c r="R126" s="143"/>
      <c r="T126" s="144"/>
      <c r="U126" s="145" t="s">
        <v>38</v>
      </c>
      <c r="V126" s="146">
        <v>0</v>
      </c>
      <c r="W126" s="146">
        <f>$V$126*$K$126</f>
        <v>0</v>
      </c>
      <c r="X126" s="146">
        <v>0</v>
      </c>
      <c r="Y126" s="146">
        <f>$X$126*$K$126</f>
        <v>0</v>
      </c>
      <c r="Z126" s="146">
        <v>0</v>
      </c>
      <c r="AA126" s="147">
        <f>$Z$126*$K$126</f>
        <v>0</v>
      </c>
      <c r="AR126" s="137" t="s">
        <v>123</v>
      </c>
      <c r="AT126" s="137" t="s">
        <v>122</v>
      </c>
      <c r="AU126" s="137" t="s">
        <v>89</v>
      </c>
      <c r="AY126" s="137" t="s">
        <v>121</v>
      </c>
      <c r="BE126" s="148">
        <f>IF($U$126="základní",$N$126,0)</f>
        <v>0</v>
      </c>
      <c r="BF126" s="148">
        <f>IF($U$126="snížená",$N$126,0)</f>
        <v>0</v>
      </c>
      <c r="BG126" s="148">
        <f>IF($U$126="zákl. přenesená",$N$126,0)</f>
        <v>0</v>
      </c>
      <c r="BH126" s="148">
        <f>IF($U$126="sníž. přenesená",$N$126,0)</f>
        <v>0</v>
      </c>
      <c r="BI126" s="148">
        <f>IF($U$126="nulová",$N$126,0)</f>
        <v>0</v>
      </c>
      <c r="BJ126" s="137" t="s">
        <v>18</v>
      </c>
      <c r="BK126" s="148">
        <f>ROUND($L$126*$K$126,2)</f>
        <v>0</v>
      </c>
      <c r="BL126" s="137" t="s">
        <v>123</v>
      </c>
      <c r="BM126" s="137" t="s">
        <v>166</v>
      </c>
    </row>
    <row r="127" spans="2:51" s="137" customFormat="1" ht="18.75" customHeight="1">
      <c r="B127" s="149"/>
      <c r="E127" s="150"/>
      <c r="F127" s="244" t="s">
        <v>310</v>
      </c>
      <c r="G127" s="238"/>
      <c r="H127" s="238"/>
      <c r="I127" s="238"/>
      <c r="K127" s="151">
        <f>K123*1.8</f>
        <v>34.56</v>
      </c>
      <c r="R127" s="152"/>
      <c r="T127" s="153"/>
      <c r="AA127" s="154"/>
      <c r="AT127" s="150" t="s">
        <v>128</v>
      </c>
      <c r="AU127" s="150" t="s">
        <v>89</v>
      </c>
      <c r="AV127" s="150" t="s">
        <v>89</v>
      </c>
      <c r="AW127" s="150" t="s">
        <v>98</v>
      </c>
      <c r="AX127" s="150" t="s">
        <v>18</v>
      </c>
      <c r="AY127" s="150" t="s">
        <v>121</v>
      </c>
    </row>
    <row r="128" spans="2:63" s="157" customFormat="1" ht="21" customHeight="1">
      <c r="B128" s="158"/>
      <c r="D128" s="159" t="s">
        <v>101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239">
        <f>$BK$128</f>
        <v>0</v>
      </c>
      <c r="O128" s="240"/>
      <c r="P128" s="240"/>
      <c r="Q128" s="240"/>
      <c r="R128" s="161"/>
      <c r="T128" s="162"/>
      <c r="W128" s="163">
        <f>SUM($W$129:$W$133)</f>
        <v>315.26920000000007</v>
      </c>
      <c r="Y128" s="163">
        <f>SUM($Y$129:$Y$133)</f>
        <v>0.19720000000000001</v>
      </c>
      <c r="AA128" s="164">
        <f>SUM($AA$129:$AA$133)</f>
        <v>0</v>
      </c>
      <c r="AR128" s="160" t="s">
        <v>18</v>
      </c>
      <c r="AT128" s="160" t="s">
        <v>72</v>
      </c>
      <c r="AU128" s="160" t="s">
        <v>18</v>
      </c>
      <c r="AY128" s="160" t="s">
        <v>121</v>
      </c>
      <c r="BK128" s="165">
        <f>SUM($BK$129:$BK$133)</f>
        <v>0</v>
      </c>
    </row>
    <row r="129" spans="2:65" s="137" customFormat="1" ht="27" customHeight="1">
      <c r="B129" s="138"/>
      <c r="C129" s="139">
        <v>18</v>
      </c>
      <c r="D129" s="139" t="s">
        <v>122</v>
      </c>
      <c r="E129" s="140" t="s">
        <v>192</v>
      </c>
      <c r="F129" s="241" t="s">
        <v>138</v>
      </c>
      <c r="G129" s="242"/>
      <c r="H129" s="242"/>
      <c r="I129" s="242"/>
      <c r="J129" s="141" t="s">
        <v>127</v>
      </c>
      <c r="K129" s="142">
        <f>K130</f>
        <v>36.6</v>
      </c>
      <c r="L129" s="243"/>
      <c r="M129" s="242"/>
      <c r="N129" s="243">
        <f>ROUND($L$129*$K$129,2)</f>
        <v>0</v>
      </c>
      <c r="O129" s="242"/>
      <c r="P129" s="242"/>
      <c r="Q129" s="242"/>
      <c r="R129" s="143"/>
      <c r="T129" s="144"/>
      <c r="U129" s="145" t="s">
        <v>38</v>
      </c>
      <c r="V129" s="146">
        <v>0.92</v>
      </c>
      <c r="W129" s="146">
        <f>$V$129*$K$129</f>
        <v>33.672000000000004</v>
      </c>
      <c r="X129" s="146">
        <v>0</v>
      </c>
      <c r="Y129" s="146">
        <f>$X$129*$K$129</f>
        <v>0</v>
      </c>
      <c r="Z129" s="146">
        <v>0</v>
      </c>
      <c r="AA129" s="147">
        <f>$Z$129*$K$129</f>
        <v>0</v>
      </c>
      <c r="AR129" s="137" t="s">
        <v>123</v>
      </c>
      <c r="AT129" s="137" t="s">
        <v>122</v>
      </c>
      <c r="AU129" s="137" t="s">
        <v>89</v>
      </c>
      <c r="AY129" s="137" t="s">
        <v>121</v>
      </c>
      <c r="BE129" s="148">
        <f>IF($U$129="základní",$N$129,0)</f>
        <v>0</v>
      </c>
      <c r="BF129" s="148">
        <f>IF($U$129="snížená",$N$129,0)</f>
        <v>0</v>
      </c>
      <c r="BG129" s="148">
        <f>IF($U$129="zákl. přenesená",$N$129,0)</f>
        <v>0</v>
      </c>
      <c r="BH129" s="148">
        <f>IF($U$129="sníž. přenesená",$N$129,0)</f>
        <v>0</v>
      </c>
      <c r="BI129" s="148">
        <f>IF($U$129="nulová",$N$129,0)</f>
        <v>0</v>
      </c>
      <c r="BJ129" s="137" t="s">
        <v>18</v>
      </c>
      <c r="BK129" s="148">
        <f>ROUND($L$129*$K$129,2)</f>
        <v>0</v>
      </c>
      <c r="BL129" s="137" t="s">
        <v>123</v>
      </c>
      <c r="BM129" s="137" t="s">
        <v>193</v>
      </c>
    </row>
    <row r="130" spans="2:51" s="137" customFormat="1" ht="18.75" customHeight="1">
      <c r="B130" s="149"/>
      <c r="E130" s="150"/>
      <c r="F130" s="244" t="s">
        <v>286</v>
      </c>
      <c r="G130" s="238"/>
      <c r="H130" s="238"/>
      <c r="I130" s="238"/>
      <c r="K130" s="151">
        <f>122*0.6*0.5</f>
        <v>36.6</v>
      </c>
      <c r="R130" s="152"/>
      <c r="T130" s="153"/>
      <c r="AA130" s="154"/>
      <c r="AT130" s="150" t="s">
        <v>128</v>
      </c>
      <c r="AU130" s="150" t="s">
        <v>89</v>
      </c>
      <c r="AV130" s="150" t="s">
        <v>89</v>
      </c>
      <c r="AW130" s="150" t="s">
        <v>98</v>
      </c>
      <c r="AX130" s="150" t="s">
        <v>73</v>
      </c>
      <c r="AY130" s="150" t="s">
        <v>121</v>
      </c>
    </row>
    <row r="131" spans="2:65" s="137" customFormat="1" ht="27" customHeight="1">
      <c r="B131" s="138"/>
      <c r="C131" s="139">
        <v>19</v>
      </c>
      <c r="D131" s="139"/>
      <c r="E131" s="140"/>
      <c r="F131" s="248" t="s">
        <v>270</v>
      </c>
      <c r="G131" s="242"/>
      <c r="H131" s="242"/>
      <c r="I131" s="242"/>
      <c r="J131" s="166" t="s">
        <v>130</v>
      </c>
      <c r="K131" s="142">
        <f>K132</f>
        <v>170.8</v>
      </c>
      <c r="L131" s="243"/>
      <c r="M131" s="242"/>
      <c r="N131" s="243">
        <f>ROUND($L$131*$K$131,2)</f>
        <v>0</v>
      </c>
      <c r="O131" s="242"/>
      <c r="P131" s="242"/>
      <c r="Q131" s="242"/>
      <c r="R131" s="143"/>
      <c r="T131" s="144"/>
      <c r="U131" s="145" t="s">
        <v>38</v>
      </c>
      <c r="V131" s="146">
        <v>1.584</v>
      </c>
      <c r="W131" s="146">
        <f>$V$131*$K$131</f>
        <v>270.54720000000003</v>
      </c>
      <c r="X131" s="146">
        <v>0</v>
      </c>
      <c r="Y131" s="146">
        <f>$X$131*$K$131</f>
        <v>0</v>
      </c>
      <c r="Z131" s="146">
        <v>0</v>
      </c>
      <c r="AA131" s="147">
        <f>$Z$131*$K$131</f>
        <v>0</v>
      </c>
      <c r="AR131" s="137" t="s">
        <v>123</v>
      </c>
      <c r="AT131" s="137" t="s">
        <v>122</v>
      </c>
      <c r="AU131" s="137" t="s">
        <v>89</v>
      </c>
      <c r="AY131" s="137" t="s">
        <v>121</v>
      </c>
      <c r="BE131" s="148">
        <f>IF($U$131="základní",$N$131,0)</f>
        <v>0</v>
      </c>
      <c r="BF131" s="148">
        <f>IF($U$131="snížená",$N$131,0)</f>
        <v>0</v>
      </c>
      <c r="BG131" s="148">
        <f>IF($U$131="zákl. přenesená",$N$131,0)</f>
        <v>0</v>
      </c>
      <c r="BH131" s="148">
        <f>IF($U$131="sníž. přenesená",$N$131,0)</f>
        <v>0</v>
      </c>
      <c r="BI131" s="148">
        <f>IF($U$131="nulová",$N$131,0)</f>
        <v>0</v>
      </c>
      <c r="BJ131" s="137" t="s">
        <v>18</v>
      </c>
      <c r="BK131" s="148">
        <f>ROUND($L$131*$K$131,2)</f>
        <v>0</v>
      </c>
      <c r="BL131" s="137" t="s">
        <v>123</v>
      </c>
      <c r="BM131" s="137" t="s">
        <v>194</v>
      </c>
    </row>
    <row r="132" spans="2:51" s="137" customFormat="1" ht="18.75" customHeight="1">
      <c r="B132" s="149"/>
      <c r="E132" s="150"/>
      <c r="F132" s="244" t="s">
        <v>287</v>
      </c>
      <c r="G132" s="238"/>
      <c r="H132" s="238"/>
      <c r="I132" s="238"/>
      <c r="K132" s="151">
        <f>122*(0.6+0.5+0.3)</f>
        <v>170.8</v>
      </c>
      <c r="R132" s="152"/>
      <c r="T132" s="153"/>
      <c r="AA132" s="154"/>
      <c r="AT132" s="150" t="s">
        <v>128</v>
      </c>
      <c r="AU132" s="150" t="s">
        <v>89</v>
      </c>
      <c r="AV132" s="150" t="s">
        <v>89</v>
      </c>
      <c r="AW132" s="150" t="s">
        <v>98</v>
      </c>
      <c r="AX132" s="150" t="s">
        <v>18</v>
      </c>
      <c r="AY132" s="150" t="s">
        <v>121</v>
      </c>
    </row>
    <row r="133" spans="2:65" s="137" customFormat="1" ht="27" customHeight="1">
      <c r="B133" s="138"/>
      <c r="C133" s="139">
        <v>20</v>
      </c>
      <c r="D133" s="139" t="s">
        <v>122</v>
      </c>
      <c r="E133" s="140" t="s">
        <v>195</v>
      </c>
      <c r="F133" s="241" t="s">
        <v>196</v>
      </c>
      <c r="G133" s="242"/>
      <c r="H133" s="242"/>
      <c r="I133" s="242"/>
      <c r="J133" s="141" t="s">
        <v>125</v>
      </c>
      <c r="K133" s="142">
        <v>170</v>
      </c>
      <c r="L133" s="243"/>
      <c r="M133" s="242"/>
      <c r="N133" s="243">
        <f>ROUND($L$133*$K$133,2)</f>
        <v>0</v>
      </c>
      <c r="O133" s="242"/>
      <c r="P133" s="242"/>
      <c r="Q133" s="242"/>
      <c r="R133" s="143"/>
      <c r="T133" s="144"/>
      <c r="U133" s="145" t="s">
        <v>38</v>
      </c>
      <c r="V133" s="146">
        <v>0.065</v>
      </c>
      <c r="W133" s="146">
        <f>$V$133*$K$133</f>
        <v>11.05</v>
      </c>
      <c r="X133" s="146">
        <v>0.00116</v>
      </c>
      <c r="Y133" s="146">
        <f>$X$133*$K$133</f>
        <v>0.19720000000000001</v>
      </c>
      <c r="Z133" s="146">
        <v>0</v>
      </c>
      <c r="AA133" s="147">
        <f>$Z$133*$K$133</f>
        <v>0</v>
      </c>
      <c r="AR133" s="137" t="s">
        <v>123</v>
      </c>
      <c r="AT133" s="137" t="s">
        <v>122</v>
      </c>
      <c r="AU133" s="137" t="s">
        <v>89</v>
      </c>
      <c r="AY133" s="137" t="s">
        <v>121</v>
      </c>
      <c r="BE133" s="148">
        <f>IF($U$133="základní",$N$133,0)</f>
        <v>0</v>
      </c>
      <c r="BF133" s="148">
        <f>IF($U$133="snížená",$N$133,0)</f>
        <v>0</v>
      </c>
      <c r="BG133" s="148">
        <f>IF($U$133="zákl. přenesená",$N$133,0)</f>
        <v>0</v>
      </c>
      <c r="BH133" s="148">
        <f>IF($U$133="sníž. přenesená",$N$133,0)</f>
        <v>0</v>
      </c>
      <c r="BI133" s="148">
        <f>IF($U$133="nulová",$N$133,0)</f>
        <v>0</v>
      </c>
      <c r="BJ133" s="137" t="s">
        <v>18</v>
      </c>
      <c r="BK133" s="148">
        <f>ROUND($L$133*$K$133,2)</f>
        <v>0</v>
      </c>
      <c r="BL133" s="137" t="s">
        <v>123</v>
      </c>
      <c r="BM133" s="137" t="s">
        <v>197</v>
      </c>
    </row>
    <row r="134" spans="2:63" s="157" customFormat="1" ht="30.75" customHeight="1">
      <c r="B134" s="158"/>
      <c r="D134" s="159" t="s">
        <v>102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239">
        <f>SUM(N135:Q140)</f>
        <v>0</v>
      </c>
      <c r="O134" s="240"/>
      <c r="P134" s="240"/>
      <c r="Q134" s="240"/>
      <c r="R134" s="161"/>
      <c r="T134" s="162"/>
      <c r="W134" s="163">
        <f>SUM($W$135:$W$141)</f>
        <v>24.470272</v>
      </c>
      <c r="Y134" s="163">
        <f>SUM($Y$135:$Y$141)</f>
        <v>15.350650000000002</v>
      </c>
      <c r="AA134" s="164">
        <f>SUM($AA$135:$AA$141)</f>
        <v>0</v>
      </c>
      <c r="AR134" s="160" t="s">
        <v>18</v>
      </c>
      <c r="AT134" s="160" t="s">
        <v>72</v>
      </c>
      <c r="AU134" s="160" t="s">
        <v>18</v>
      </c>
      <c r="AY134" s="160" t="s">
        <v>121</v>
      </c>
      <c r="BK134" s="165">
        <f>SUM($BK$135:$BK$141)</f>
        <v>0</v>
      </c>
    </row>
    <row r="135" spans="2:65" s="137" customFormat="1" ht="15.75" customHeight="1">
      <c r="B135" s="138"/>
      <c r="C135" s="139">
        <v>23</v>
      </c>
      <c r="D135" s="139" t="s">
        <v>122</v>
      </c>
      <c r="E135" s="140" t="s">
        <v>202</v>
      </c>
      <c r="F135" s="248" t="s">
        <v>268</v>
      </c>
      <c r="G135" s="242"/>
      <c r="H135" s="242"/>
      <c r="I135" s="242"/>
      <c r="J135" s="166" t="s">
        <v>127</v>
      </c>
      <c r="K135" s="142">
        <f>K136</f>
        <v>2.9280000000000004</v>
      </c>
      <c r="L135" s="243"/>
      <c r="M135" s="242"/>
      <c r="N135" s="243">
        <f>ROUND($L$135*$K$135,2)</f>
        <v>0</v>
      </c>
      <c r="O135" s="242"/>
      <c r="P135" s="242"/>
      <c r="Q135" s="242"/>
      <c r="R135" s="143"/>
      <c r="T135" s="144"/>
      <c r="U135" s="145" t="s">
        <v>38</v>
      </c>
      <c r="V135" s="146">
        <v>0.024</v>
      </c>
      <c r="W135" s="146">
        <f>$V$135*$K$135</f>
        <v>0.07027200000000002</v>
      </c>
      <c r="X135" s="146">
        <v>0</v>
      </c>
      <c r="Y135" s="146">
        <f>$X$135*$K$135</f>
        <v>0</v>
      </c>
      <c r="Z135" s="146">
        <v>0</v>
      </c>
      <c r="AA135" s="147">
        <f>$Z$135*$K$135</f>
        <v>0</v>
      </c>
      <c r="AR135" s="137" t="s">
        <v>123</v>
      </c>
      <c r="AT135" s="137" t="s">
        <v>122</v>
      </c>
      <c r="AU135" s="137" t="s">
        <v>89</v>
      </c>
      <c r="AY135" s="137" t="s">
        <v>121</v>
      </c>
      <c r="BE135" s="148">
        <f>IF($U$135="základní",$N$135,0)</f>
        <v>0</v>
      </c>
      <c r="BF135" s="148">
        <f>IF($U$135="snížená",$N$135,0)</f>
        <v>0</v>
      </c>
      <c r="BG135" s="148">
        <f>IF($U$135="zákl. přenesená",$N$135,0)</f>
        <v>0</v>
      </c>
      <c r="BH135" s="148">
        <f>IF($U$135="sníž. přenesená",$N$135,0)</f>
        <v>0</v>
      </c>
      <c r="BI135" s="148">
        <f>IF($U$135="nulová",$N$135,0)</f>
        <v>0</v>
      </c>
      <c r="BJ135" s="137" t="s">
        <v>18</v>
      </c>
      <c r="BK135" s="148">
        <f>ROUND($L$135*$K$135,2)</f>
        <v>0</v>
      </c>
      <c r="BL135" s="137" t="s">
        <v>123</v>
      </c>
      <c r="BM135" s="137" t="s">
        <v>203</v>
      </c>
    </row>
    <row r="136" spans="2:51" s="137" customFormat="1" ht="18.75" customHeight="1">
      <c r="B136" s="149"/>
      <c r="E136" s="150"/>
      <c r="F136" s="244" t="s">
        <v>291</v>
      </c>
      <c r="G136" s="238"/>
      <c r="H136" s="238"/>
      <c r="I136" s="238"/>
      <c r="K136" s="167">
        <f>122*0.6*0.04</f>
        <v>2.9280000000000004</v>
      </c>
      <c r="R136" s="152"/>
      <c r="T136" s="153"/>
      <c r="AA136" s="154"/>
      <c r="AT136" s="150" t="s">
        <v>128</v>
      </c>
      <c r="AU136" s="150" t="s">
        <v>89</v>
      </c>
      <c r="AV136" s="150" t="s">
        <v>89</v>
      </c>
      <c r="AW136" s="150" t="s">
        <v>98</v>
      </c>
      <c r="AX136" s="150" t="s">
        <v>18</v>
      </c>
      <c r="AY136" s="150" t="s">
        <v>121</v>
      </c>
    </row>
    <row r="137" spans="2:47" s="137" customFormat="1" ht="18.75" customHeight="1">
      <c r="B137" s="138"/>
      <c r="F137" s="253"/>
      <c r="G137" s="254"/>
      <c r="H137" s="254"/>
      <c r="I137" s="254"/>
      <c r="R137" s="143"/>
      <c r="T137" s="155"/>
      <c r="AA137" s="156"/>
      <c r="AT137" s="137" t="s">
        <v>133</v>
      </c>
      <c r="AU137" s="137" t="s">
        <v>89</v>
      </c>
    </row>
    <row r="138" spans="2:65" s="137" customFormat="1" ht="27" customHeight="1">
      <c r="B138" s="138"/>
      <c r="C138" s="139">
        <v>27</v>
      </c>
      <c r="D138" s="139" t="s">
        <v>122</v>
      </c>
      <c r="E138" s="140" t="s">
        <v>214</v>
      </c>
      <c r="F138" s="241" t="s">
        <v>215</v>
      </c>
      <c r="G138" s="242"/>
      <c r="H138" s="242"/>
      <c r="I138" s="242"/>
      <c r="J138" s="141" t="s">
        <v>130</v>
      </c>
      <c r="K138" s="142">
        <f>K139</f>
        <v>48.800000000000004</v>
      </c>
      <c r="L138" s="243"/>
      <c r="M138" s="242"/>
      <c r="N138" s="243">
        <f>ROUND($L$138*$K$138,2)</f>
        <v>0</v>
      </c>
      <c r="O138" s="242"/>
      <c r="P138" s="242"/>
      <c r="Q138" s="242"/>
      <c r="R138" s="143"/>
      <c r="T138" s="144"/>
      <c r="U138" s="145" t="s">
        <v>38</v>
      </c>
      <c r="V138" s="146">
        <v>0.5</v>
      </c>
      <c r="W138" s="146">
        <f>$V$138*$K$138</f>
        <v>24.400000000000002</v>
      </c>
      <c r="X138" s="146">
        <v>0.098</v>
      </c>
      <c r="Y138" s="146">
        <f>$X$138*$K$138</f>
        <v>4.782400000000001</v>
      </c>
      <c r="Z138" s="146">
        <v>0</v>
      </c>
      <c r="AA138" s="147">
        <f>$Z$138*$K$138</f>
        <v>0</v>
      </c>
      <c r="AR138" s="137" t="s">
        <v>123</v>
      </c>
      <c r="AT138" s="137" t="s">
        <v>122</v>
      </c>
      <c r="AU138" s="137" t="s">
        <v>89</v>
      </c>
      <c r="AY138" s="137" t="s">
        <v>121</v>
      </c>
      <c r="BE138" s="148">
        <f>IF($U$138="základní",$N$138,0)</f>
        <v>0</v>
      </c>
      <c r="BF138" s="148">
        <f>IF($U$138="snížená",$N$138,0)</f>
        <v>0</v>
      </c>
      <c r="BG138" s="148">
        <f>IF($U$138="zákl. přenesená",$N$138,0)</f>
        <v>0</v>
      </c>
      <c r="BH138" s="148">
        <f>IF($U$138="sníž. přenesená",$N$138,0)</f>
        <v>0</v>
      </c>
      <c r="BI138" s="148">
        <f>IF($U$138="nulová",$N$138,0)</f>
        <v>0</v>
      </c>
      <c r="BJ138" s="137" t="s">
        <v>18</v>
      </c>
      <c r="BK138" s="148">
        <f>ROUND($L$138*$K$138,2)</f>
        <v>0</v>
      </c>
      <c r="BL138" s="137" t="s">
        <v>123</v>
      </c>
      <c r="BM138" s="137" t="s">
        <v>216</v>
      </c>
    </row>
    <row r="139" spans="2:51" s="137" customFormat="1" ht="18.75" customHeight="1">
      <c r="B139" s="149"/>
      <c r="E139" s="150"/>
      <c r="F139" s="244" t="s">
        <v>293</v>
      </c>
      <c r="G139" s="238"/>
      <c r="H139" s="238"/>
      <c r="I139" s="238"/>
      <c r="K139" s="151">
        <f>122*0.4</f>
        <v>48.800000000000004</v>
      </c>
      <c r="R139" s="152"/>
      <c r="T139" s="153"/>
      <c r="AA139" s="154"/>
      <c r="AT139" s="150" t="s">
        <v>128</v>
      </c>
      <c r="AU139" s="150" t="s">
        <v>89</v>
      </c>
      <c r="AV139" s="150" t="s">
        <v>89</v>
      </c>
      <c r="AW139" s="150" t="s">
        <v>98</v>
      </c>
      <c r="AX139" s="150" t="s">
        <v>18</v>
      </c>
      <c r="AY139" s="150" t="s">
        <v>121</v>
      </c>
    </row>
    <row r="140" spans="2:65" s="168" customFormat="1" ht="27" customHeight="1">
      <c r="B140" s="169"/>
      <c r="C140" s="170">
        <v>28</v>
      </c>
      <c r="D140" s="170" t="s">
        <v>137</v>
      </c>
      <c r="E140" s="171" t="s">
        <v>217</v>
      </c>
      <c r="F140" s="249" t="s">
        <v>294</v>
      </c>
      <c r="G140" s="250"/>
      <c r="H140" s="250"/>
      <c r="I140" s="250"/>
      <c r="J140" s="172" t="s">
        <v>139</v>
      </c>
      <c r="K140" s="173">
        <f>K141</f>
        <v>320.25</v>
      </c>
      <c r="L140" s="251"/>
      <c r="M140" s="250"/>
      <c r="N140" s="251">
        <f>ROUND($L$140*$K$140,2)</f>
        <v>0</v>
      </c>
      <c r="O140" s="252"/>
      <c r="P140" s="252"/>
      <c r="Q140" s="252"/>
      <c r="R140" s="175"/>
      <c r="T140" s="174"/>
      <c r="U140" s="176" t="s">
        <v>38</v>
      </c>
      <c r="V140" s="177">
        <v>0</v>
      </c>
      <c r="W140" s="177">
        <f>$V$140*$K$140</f>
        <v>0</v>
      </c>
      <c r="X140" s="177">
        <v>0.033</v>
      </c>
      <c r="Y140" s="177">
        <f>$X$140*$K$140</f>
        <v>10.56825</v>
      </c>
      <c r="Z140" s="177">
        <v>0</v>
      </c>
      <c r="AA140" s="178">
        <f>$Z$140*$K$140</f>
        <v>0</v>
      </c>
      <c r="AR140" s="168" t="s">
        <v>129</v>
      </c>
      <c r="AT140" s="168" t="s">
        <v>137</v>
      </c>
      <c r="AU140" s="168" t="s">
        <v>89</v>
      </c>
      <c r="AY140" s="168" t="s">
        <v>121</v>
      </c>
      <c r="BE140" s="179">
        <f>IF($U$140="základní",$N$140,0)</f>
        <v>0</v>
      </c>
      <c r="BF140" s="179">
        <f>IF($U$140="snížená",$N$140,0)</f>
        <v>0</v>
      </c>
      <c r="BG140" s="179">
        <f>IF($U$140="zákl. přenesená",$N$140,0)</f>
        <v>0</v>
      </c>
      <c r="BH140" s="179">
        <f>IF($U$140="sníž. přenesená",$N$140,0)</f>
        <v>0</v>
      </c>
      <c r="BI140" s="179">
        <f>IF($U$140="nulová",$N$140,0)</f>
        <v>0</v>
      </c>
      <c r="BJ140" s="168" t="s">
        <v>18</v>
      </c>
      <c r="BK140" s="179">
        <f>ROUND($L$140*$K$140,2)</f>
        <v>0</v>
      </c>
      <c r="BL140" s="168" t="s">
        <v>123</v>
      </c>
      <c r="BM140" s="168" t="s">
        <v>218</v>
      </c>
    </row>
    <row r="141" spans="2:51" s="137" customFormat="1" ht="18.75" customHeight="1">
      <c r="B141" s="149"/>
      <c r="E141" s="150"/>
      <c r="F141" s="244" t="s">
        <v>295</v>
      </c>
      <c r="G141" s="238"/>
      <c r="H141" s="238"/>
      <c r="I141" s="238"/>
      <c r="K141" s="151">
        <f>122/0.4*1.05</f>
        <v>320.25</v>
      </c>
      <c r="R141" s="152"/>
      <c r="T141" s="153"/>
      <c r="AA141" s="154"/>
      <c r="AT141" s="150" t="s">
        <v>128</v>
      </c>
      <c r="AU141" s="150" t="s">
        <v>89</v>
      </c>
      <c r="AV141" s="150" t="s">
        <v>89</v>
      </c>
      <c r="AW141" s="150" t="s">
        <v>98</v>
      </c>
      <c r="AX141" s="150" t="s">
        <v>18</v>
      </c>
      <c r="AY141" s="150" t="s">
        <v>121</v>
      </c>
    </row>
    <row r="142" spans="2:63" s="157" customFormat="1" ht="30.75" customHeight="1">
      <c r="B142" s="158"/>
      <c r="D142" s="159" t="s">
        <v>103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39">
        <f>SUM(N143:Q149)</f>
        <v>0</v>
      </c>
      <c r="O142" s="240"/>
      <c r="P142" s="240"/>
      <c r="Q142" s="240"/>
      <c r="R142" s="161"/>
      <c r="T142" s="162"/>
      <c r="W142" s="163" t="e">
        <f>#REF!+SUM($W$145:$W$149)</f>
        <v>#REF!</v>
      </c>
      <c r="Y142" s="163" t="e">
        <f>#REF!+SUM($Y$145:$Y$149)</f>
        <v>#REF!</v>
      </c>
      <c r="AA142" s="164" t="e">
        <f>#REF!+SUM($AA$145:$AA$149)</f>
        <v>#REF!</v>
      </c>
      <c r="AR142" s="160" t="s">
        <v>18</v>
      </c>
      <c r="AT142" s="160" t="s">
        <v>72</v>
      </c>
      <c r="AU142" s="160" t="s">
        <v>18</v>
      </c>
      <c r="AY142" s="160" t="s">
        <v>121</v>
      </c>
      <c r="BK142" s="165" t="e">
        <f>#REF!+SUM($BK$145:$BK$149)</f>
        <v>#REF!</v>
      </c>
    </row>
    <row r="143" spans="2:65" s="137" customFormat="1" ht="39" customHeight="1">
      <c r="B143" s="138"/>
      <c r="C143" s="139">
        <v>29</v>
      </c>
      <c r="D143" s="139" t="s">
        <v>122</v>
      </c>
      <c r="E143" s="140"/>
      <c r="F143" s="248" t="s">
        <v>301</v>
      </c>
      <c r="G143" s="242"/>
      <c r="H143" s="242"/>
      <c r="I143" s="242"/>
      <c r="J143" s="166" t="s">
        <v>127</v>
      </c>
      <c r="K143" s="142">
        <v>1.5</v>
      </c>
      <c r="L143" s="243"/>
      <c r="M143" s="242"/>
      <c r="N143" s="243">
        <f>K143*L143</f>
        <v>0</v>
      </c>
      <c r="O143" s="242"/>
      <c r="P143" s="242"/>
      <c r="Q143" s="242"/>
      <c r="R143" s="143"/>
      <c r="T143" s="144"/>
      <c r="U143" s="145" t="s">
        <v>38</v>
      </c>
      <c r="V143" s="146">
        <v>0.216</v>
      </c>
      <c r="W143" s="146" t="e">
        <f>#REF!*#REF!</f>
        <v>#REF!</v>
      </c>
      <c r="X143" s="146">
        <v>0.1295</v>
      </c>
      <c r="Y143" s="146" t="e">
        <f>#REF!*#REF!</f>
        <v>#REF!</v>
      </c>
      <c r="Z143" s="146">
        <v>0</v>
      </c>
      <c r="AA143" s="147" t="e">
        <f>#REF!*#REF!</f>
        <v>#REF!</v>
      </c>
      <c r="AR143" s="137" t="s">
        <v>123</v>
      </c>
      <c r="AT143" s="137" t="s">
        <v>122</v>
      </c>
      <c r="AU143" s="137" t="s">
        <v>89</v>
      </c>
      <c r="AY143" s="137" t="s">
        <v>121</v>
      </c>
      <c r="BE143" s="148" t="e">
        <f>IF(#REF!="základní",#REF!,0)</f>
        <v>#REF!</v>
      </c>
      <c r="BF143" s="148" t="e">
        <f>IF(#REF!="snížená",#REF!,0)</f>
        <v>#REF!</v>
      </c>
      <c r="BG143" s="148" t="e">
        <f>IF(#REF!="zákl. přenesená",#REF!,0)</f>
        <v>#REF!</v>
      </c>
      <c r="BH143" s="148" t="e">
        <f>IF(#REF!="sníž. přenesená",#REF!,0)</f>
        <v>#REF!</v>
      </c>
      <c r="BI143" s="148" t="e">
        <f>IF(#REF!="nulová",#REF!,0)</f>
        <v>#REF!</v>
      </c>
      <c r="BJ143" s="137" t="s">
        <v>18</v>
      </c>
      <c r="BK143" s="148" t="e">
        <f>ROUND(#REF!*#REF!,2)</f>
        <v>#REF!</v>
      </c>
      <c r="BL143" s="137" t="s">
        <v>123</v>
      </c>
      <c r="BM143" s="137" t="s">
        <v>220</v>
      </c>
    </row>
    <row r="144" spans="2:51" s="137" customFormat="1" ht="18.75" customHeight="1">
      <c r="B144" s="149"/>
      <c r="E144" s="150"/>
      <c r="F144" s="237"/>
      <c r="G144" s="238"/>
      <c r="H144" s="238"/>
      <c r="I144" s="238"/>
      <c r="K144" s="151"/>
      <c r="R144" s="152"/>
      <c r="T144" s="153"/>
      <c r="AA144" s="154"/>
      <c r="AT144" s="150" t="s">
        <v>128</v>
      </c>
      <c r="AU144" s="150" t="s">
        <v>89</v>
      </c>
      <c r="AV144" s="150" t="s">
        <v>89</v>
      </c>
      <c r="AW144" s="150" t="s">
        <v>98</v>
      </c>
      <c r="AX144" s="150" t="s">
        <v>18</v>
      </c>
      <c r="AY144" s="150" t="s">
        <v>121</v>
      </c>
    </row>
    <row r="145" spans="2:65" s="137" customFormat="1" ht="27" customHeight="1">
      <c r="B145" s="138"/>
      <c r="C145" s="139">
        <v>32</v>
      </c>
      <c r="D145" s="139" t="s">
        <v>122</v>
      </c>
      <c r="E145" s="140" t="s">
        <v>223</v>
      </c>
      <c r="F145" s="248" t="s">
        <v>298</v>
      </c>
      <c r="G145" s="242"/>
      <c r="H145" s="242"/>
      <c r="I145" s="242"/>
      <c r="J145" s="141" t="s">
        <v>125</v>
      </c>
      <c r="K145" s="142">
        <v>122</v>
      </c>
      <c r="L145" s="243"/>
      <c r="M145" s="242"/>
      <c r="N145" s="243">
        <f>ROUND($L$145*$K$145,2)</f>
        <v>0</v>
      </c>
      <c r="O145" s="242"/>
      <c r="P145" s="242"/>
      <c r="Q145" s="242"/>
      <c r="R145" s="143"/>
      <c r="T145" s="144"/>
      <c r="U145" s="145" t="s">
        <v>38</v>
      </c>
      <c r="V145" s="146">
        <v>0.14</v>
      </c>
      <c r="W145" s="146">
        <f>$V$145*$K$145</f>
        <v>17.080000000000002</v>
      </c>
      <c r="X145" s="146">
        <v>0.10095</v>
      </c>
      <c r="Y145" s="146">
        <f>$X$145*$K$145</f>
        <v>12.3159</v>
      </c>
      <c r="Z145" s="146">
        <v>0</v>
      </c>
      <c r="AA145" s="147">
        <f>$Z$145*$K$145</f>
        <v>0</v>
      </c>
      <c r="AR145" s="137" t="s">
        <v>123</v>
      </c>
      <c r="AT145" s="137" t="s">
        <v>122</v>
      </c>
      <c r="AU145" s="137" t="s">
        <v>89</v>
      </c>
      <c r="AY145" s="137" t="s">
        <v>121</v>
      </c>
      <c r="BE145" s="148">
        <f>IF($U$145="základní",$N$145,0)</f>
        <v>0</v>
      </c>
      <c r="BF145" s="148">
        <f>IF($U$145="snížená",$N$145,0)</f>
        <v>0</v>
      </c>
      <c r="BG145" s="148">
        <f>IF($U$145="zákl. přenesená",$N$145,0)</f>
        <v>0</v>
      </c>
      <c r="BH145" s="148">
        <f>IF($U$145="sníž. přenesená",$N$145,0)</f>
        <v>0</v>
      </c>
      <c r="BI145" s="148">
        <f>IF($U$145="nulová",$N$145,0)</f>
        <v>0</v>
      </c>
      <c r="BJ145" s="137" t="s">
        <v>18</v>
      </c>
      <c r="BK145" s="148">
        <f>ROUND($L$145*$K$145,2)</f>
        <v>0</v>
      </c>
      <c r="BL145" s="137" t="s">
        <v>123</v>
      </c>
      <c r="BM145" s="137" t="s">
        <v>224</v>
      </c>
    </row>
    <row r="146" spans="2:51" s="137" customFormat="1" ht="18.75" customHeight="1">
      <c r="B146" s="149"/>
      <c r="E146" s="150"/>
      <c r="F146" s="244"/>
      <c r="G146" s="238"/>
      <c r="H146" s="238"/>
      <c r="I146" s="238"/>
      <c r="K146" s="151"/>
      <c r="R146" s="152"/>
      <c r="T146" s="153"/>
      <c r="AA146" s="154"/>
      <c r="AT146" s="150" t="s">
        <v>128</v>
      </c>
      <c r="AU146" s="150" t="s">
        <v>89</v>
      </c>
      <c r="AV146" s="150" t="s">
        <v>89</v>
      </c>
      <c r="AW146" s="150" t="s">
        <v>98</v>
      </c>
      <c r="AX146" s="150" t="s">
        <v>18</v>
      </c>
      <c r="AY146" s="150" t="s">
        <v>121</v>
      </c>
    </row>
    <row r="147" spans="2:65" s="168" customFormat="1" ht="27" customHeight="1">
      <c r="B147" s="169"/>
      <c r="C147" s="170">
        <v>33</v>
      </c>
      <c r="D147" s="170" t="s">
        <v>137</v>
      </c>
      <c r="E147" s="171" t="s">
        <v>225</v>
      </c>
      <c r="F147" s="249" t="s">
        <v>299</v>
      </c>
      <c r="G147" s="250"/>
      <c r="H147" s="250"/>
      <c r="I147" s="250"/>
      <c r="J147" s="172" t="s">
        <v>139</v>
      </c>
      <c r="K147" s="173">
        <f>K145*1.05</f>
        <v>128.1</v>
      </c>
      <c r="L147" s="251"/>
      <c r="M147" s="250"/>
      <c r="N147" s="251">
        <f>ROUND($L$147*$K$147,2)</f>
        <v>0</v>
      </c>
      <c r="O147" s="252"/>
      <c r="P147" s="252"/>
      <c r="Q147" s="252"/>
      <c r="R147" s="175"/>
      <c r="T147" s="174"/>
      <c r="U147" s="176" t="s">
        <v>38</v>
      </c>
      <c r="V147" s="177">
        <v>0</v>
      </c>
      <c r="W147" s="177">
        <f>$V$147*$K$147</f>
        <v>0</v>
      </c>
      <c r="X147" s="177">
        <v>0.024</v>
      </c>
      <c r="Y147" s="177">
        <f>$X$147*$K$147</f>
        <v>3.0744</v>
      </c>
      <c r="Z147" s="177">
        <v>0</v>
      </c>
      <c r="AA147" s="178">
        <f>$Z$147*$K$147</f>
        <v>0</v>
      </c>
      <c r="AR147" s="168" t="s">
        <v>129</v>
      </c>
      <c r="AT147" s="168" t="s">
        <v>137</v>
      </c>
      <c r="AU147" s="168" t="s">
        <v>89</v>
      </c>
      <c r="AY147" s="168" t="s">
        <v>121</v>
      </c>
      <c r="BE147" s="179">
        <f>IF($U$147="základní",$N$147,0)</f>
        <v>0</v>
      </c>
      <c r="BF147" s="179">
        <f>IF($U$147="snížená",$N$147,0)</f>
        <v>0</v>
      </c>
      <c r="BG147" s="179">
        <f>IF($U$147="zákl. přenesená",$N$147,0)</f>
        <v>0</v>
      </c>
      <c r="BH147" s="179">
        <f>IF($U$147="sníž. přenesená",$N$147,0)</f>
        <v>0</v>
      </c>
      <c r="BI147" s="179">
        <f>IF($U$147="nulová",$N$147,0)</f>
        <v>0</v>
      </c>
      <c r="BJ147" s="168" t="s">
        <v>18</v>
      </c>
      <c r="BK147" s="179">
        <f>ROUND($L$147*$K$147,2)</f>
        <v>0</v>
      </c>
      <c r="BL147" s="168" t="s">
        <v>123</v>
      </c>
      <c r="BM147" s="168" t="s">
        <v>226</v>
      </c>
    </row>
    <row r="148" spans="2:51" s="137" customFormat="1" ht="18.75" customHeight="1">
      <c r="B148" s="149"/>
      <c r="E148" s="150"/>
      <c r="F148" s="237"/>
      <c r="G148" s="238"/>
      <c r="H148" s="238"/>
      <c r="I148" s="238"/>
      <c r="K148" s="151"/>
      <c r="R148" s="152"/>
      <c r="T148" s="153"/>
      <c r="AA148" s="154"/>
      <c r="AT148" s="150" t="s">
        <v>128</v>
      </c>
      <c r="AU148" s="150" t="s">
        <v>89</v>
      </c>
      <c r="AV148" s="150" t="s">
        <v>89</v>
      </c>
      <c r="AW148" s="150" t="s">
        <v>98</v>
      </c>
      <c r="AX148" s="150" t="s">
        <v>18</v>
      </c>
      <c r="AY148" s="150" t="s">
        <v>121</v>
      </c>
    </row>
    <row r="149" spans="2:65" s="137" customFormat="1" ht="15" customHeight="1">
      <c r="B149" s="138"/>
      <c r="C149" s="139">
        <v>36</v>
      </c>
      <c r="D149" s="139" t="s">
        <v>122</v>
      </c>
      <c r="E149" s="140"/>
      <c r="F149" s="245" t="s">
        <v>302</v>
      </c>
      <c r="G149" s="246"/>
      <c r="H149" s="246"/>
      <c r="I149" s="247"/>
      <c r="J149" s="166" t="s">
        <v>303</v>
      </c>
      <c r="K149" s="142">
        <v>2</v>
      </c>
      <c r="L149" s="243"/>
      <c r="M149" s="242"/>
      <c r="N149" s="243">
        <f>K149*L149</f>
        <v>0</v>
      </c>
      <c r="O149" s="242"/>
      <c r="P149" s="242"/>
      <c r="Q149" s="242"/>
      <c r="R149" s="143"/>
      <c r="T149" s="144"/>
      <c r="U149" s="145" t="s">
        <v>38</v>
      </c>
      <c r="V149" s="146">
        <v>0.196</v>
      </c>
      <c r="W149" s="146" t="e">
        <f>#REF!*#REF!</f>
        <v>#REF!</v>
      </c>
      <c r="X149" s="146">
        <v>0</v>
      </c>
      <c r="Y149" s="146" t="e">
        <f>#REF!*#REF!</f>
        <v>#REF!</v>
      </c>
      <c r="Z149" s="146">
        <v>0</v>
      </c>
      <c r="AA149" s="147" t="e">
        <f>#REF!*#REF!</f>
        <v>#REF!</v>
      </c>
      <c r="AR149" s="137" t="s">
        <v>123</v>
      </c>
      <c r="AT149" s="137" t="s">
        <v>122</v>
      </c>
      <c r="AU149" s="137" t="s">
        <v>89</v>
      </c>
      <c r="AY149" s="137" t="s">
        <v>121</v>
      </c>
      <c r="BE149" s="148" t="e">
        <f>IF(#REF!="základní",#REF!,0)</f>
        <v>#REF!</v>
      </c>
      <c r="BF149" s="148" t="e">
        <f>IF(#REF!="snížená",#REF!,0)</f>
        <v>#REF!</v>
      </c>
      <c r="BG149" s="148" t="e">
        <f>IF(#REF!="zákl. přenesená",#REF!,0)</f>
        <v>#REF!</v>
      </c>
      <c r="BH149" s="148" t="e">
        <f>IF(#REF!="sníž. přenesená",#REF!,0)</f>
        <v>#REF!</v>
      </c>
      <c r="BI149" s="148" t="e">
        <f>IF(#REF!="nulová",#REF!,0)</f>
        <v>#REF!</v>
      </c>
      <c r="BJ149" s="137" t="s">
        <v>18</v>
      </c>
      <c r="BK149" s="148" t="e">
        <f>ROUND(#REF!*#REF!,2)</f>
        <v>#REF!</v>
      </c>
      <c r="BL149" s="137" t="s">
        <v>123</v>
      </c>
      <c r="BM149" s="137" t="s">
        <v>228</v>
      </c>
    </row>
    <row r="150" spans="2:51" s="137" customFormat="1" ht="32.25" customHeight="1">
      <c r="B150" s="149"/>
      <c r="E150" s="150"/>
      <c r="F150" s="237"/>
      <c r="G150" s="238"/>
      <c r="H150" s="238"/>
      <c r="I150" s="238"/>
      <c r="K150" s="151"/>
      <c r="R150" s="152"/>
      <c r="T150" s="153"/>
      <c r="AA150" s="154"/>
      <c r="AT150" s="150" t="s">
        <v>128</v>
      </c>
      <c r="AU150" s="150" t="s">
        <v>124</v>
      </c>
      <c r="AV150" s="150" t="s">
        <v>89</v>
      </c>
      <c r="AW150" s="150" t="s">
        <v>98</v>
      </c>
      <c r="AX150" s="150" t="s">
        <v>18</v>
      </c>
      <c r="AY150" s="150" t="s">
        <v>121</v>
      </c>
    </row>
    <row r="151" spans="2:63" s="157" customFormat="1" ht="30.75" customHeight="1">
      <c r="B151" s="158"/>
      <c r="D151" s="159" t="s">
        <v>145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239">
        <f>$BK$151</f>
        <v>0</v>
      </c>
      <c r="O151" s="240"/>
      <c r="P151" s="240"/>
      <c r="Q151" s="240"/>
      <c r="R151" s="161"/>
      <c r="T151" s="162"/>
      <c r="W151" s="163">
        <f>SUM($W$152:$W$153)</f>
        <v>0</v>
      </c>
      <c r="Y151" s="163">
        <f>SUM($Y$152:$Y$153)</f>
        <v>0</v>
      </c>
      <c r="AA151" s="164">
        <f>SUM($AA$152:$AA$153)</f>
        <v>0</v>
      </c>
      <c r="AR151" s="160" t="s">
        <v>18</v>
      </c>
      <c r="AT151" s="160" t="s">
        <v>72</v>
      </c>
      <c r="AU151" s="160" t="s">
        <v>18</v>
      </c>
      <c r="AY151" s="160" t="s">
        <v>121</v>
      </c>
      <c r="BK151" s="165">
        <f>SUM($BK$152:$BK$153)</f>
        <v>0</v>
      </c>
    </row>
    <row r="152" spans="2:65" s="137" customFormat="1" ht="27" customHeight="1">
      <c r="B152" s="138"/>
      <c r="C152" s="139" t="s">
        <v>233</v>
      </c>
      <c r="D152" s="139" t="s">
        <v>122</v>
      </c>
      <c r="E152" s="140" t="s">
        <v>234</v>
      </c>
      <c r="F152" s="241" t="s">
        <v>235</v>
      </c>
      <c r="G152" s="242"/>
      <c r="H152" s="242"/>
      <c r="I152" s="242"/>
      <c r="J152" s="141" t="s">
        <v>136</v>
      </c>
      <c r="K152" s="142">
        <f>K153</f>
        <v>3.5999999999999996</v>
      </c>
      <c r="L152" s="243"/>
      <c r="M152" s="242"/>
      <c r="N152" s="243">
        <f>ROUND($L$152*$K$152,2)</f>
        <v>0</v>
      </c>
      <c r="O152" s="242"/>
      <c r="P152" s="242"/>
      <c r="Q152" s="242"/>
      <c r="R152" s="143"/>
      <c r="T152" s="144"/>
      <c r="U152" s="145" t="s">
        <v>38</v>
      </c>
      <c r="V152" s="146">
        <v>0</v>
      </c>
      <c r="W152" s="146">
        <f>$V$152*$K$152</f>
        <v>0</v>
      </c>
      <c r="X152" s="146">
        <v>0</v>
      </c>
      <c r="Y152" s="146">
        <f>$X$152*$K$152</f>
        <v>0</v>
      </c>
      <c r="Z152" s="146">
        <v>0</v>
      </c>
      <c r="AA152" s="147">
        <f>$Z$152*$K$152</f>
        <v>0</v>
      </c>
      <c r="AR152" s="137" t="s">
        <v>123</v>
      </c>
      <c r="AT152" s="137" t="s">
        <v>122</v>
      </c>
      <c r="AU152" s="137" t="s">
        <v>89</v>
      </c>
      <c r="AY152" s="137" t="s">
        <v>121</v>
      </c>
      <c r="BE152" s="148">
        <f>IF($U$152="základní",$N$152,0)</f>
        <v>0</v>
      </c>
      <c r="BF152" s="148">
        <f>IF($U$152="snížená",$N$152,0)</f>
        <v>0</v>
      </c>
      <c r="BG152" s="148">
        <f>IF($U$152="zákl. přenesená",$N$152,0)</f>
        <v>0</v>
      </c>
      <c r="BH152" s="148">
        <f>IF($U$152="sníž. přenesená",$N$152,0)</f>
        <v>0</v>
      </c>
      <c r="BI152" s="148">
        <f>IF($U$152="nulová",$N$152,0)</f>
        <v>0</v>
      </c>
      <c r="BJ152" s="137" t="s">
        <v>18</v>
      </c>
      <c r="BK152" s="148">
        <f>ROUND($L$152*$K$152,2)</f>
        <v>0</v>
      </c>
      <c r="BL152" s="137" t="s">
        <v>123</v>
      </c>
      <c r="BM152" s="137" t="s">
        <v>236</v>
      </c>
    </row>
    <row r="153" spans="2:51" s="137" customFormat="1" ht="18.75" customHeight="1">
      <c r="B153" s="149"/>
      <c r="E153" s="150"/>
      <c r="F153" s="244" t="s">
        <v>306</v>
      </c>
      <c r="G153" s="238"/>
      <c r="H153" s="238"/>
      <c r="I153" s="238"/>
      <c r="K153" s="151">
        <f>1.5*2.4</f>
        <v>3.5999999999999996</v>
      </c>
      <c r="R153" s="152"/>
      <c r="T153" s="153"/>
      <c r="AA153" s="154"/>
      <c r="AT153" s="150" t="s">
        <v>128</v>
      </c>
      <c r="AU153" s="150" t="s">
        <v>89</v>
      </c>
      <c r="AV153" s="150" t="s">
        <v>89</v>
      </c>
      <c r="AW153" s="150" t="s">
        <v>98</v>
      </c>
      <c r="AX153" s="150" t="s">
        <v>18</v>
      </c>
      <c r="AY153" s="150" t="s">
        <v>121</v>
      </c>
    </row>
    <row r="154" spans="2:18" s="137" customFormat="1" ht="7.5" customHeight="1">
      <c r="B154" s="180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2"/>
    </row>
    <row r="155" spans="1:64" s="184" customFormat="1" ht="14.25" customHeight="1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</row>
    <row r="156" s="183" customFormat="1" ht="14.25" customHeight="1"/>
    <row r="157" spans="1:64" s="184" customFormat="1" ht="14.25" customHeight="1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</row>
    <row r="158" spans="1:64" s="184" customFormat="1" ht="14.25" customHeight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</row>
  </sheetData>
  <sheetProtection/>
  <mergeCells count="125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N93:Q93"/>
    <mergeCell ref="F78:P78"/>
    <mergeCell ref="F79:P79"/>
    <mergeCell ref="M81:P81"/>
    <mergeCell ref="M83:Q83"/>
    <mergeCell ref="M84:Q84"/>
    <mergeCell ref="C86:G86"/>
    <mergeCell ref="N86:Q86"/>
    <mergeCell ref="N94:Q94"/>
    <mergeCell ref="N96:Q96"/>
    <mergeCell ref="L98:Q98"/>
    <mergeCell ref="C104:Q104"/>
    <mergeCell ref="F106:P106"/>
    <mergeCell ref="N88:Q88"/>
    <mergeCell ref="N89:Q89"/>
    <mergeCell ref="N90:Q90"/>
    <mergeCell ref="N91:Q91"/>
    <mergeCell ref="N92:Q92"/>
    <mergeCell ref="N115:Q115"/>
    <mergeCell ref="N116:Q116"/>
    <mergeCell ref="N117:Q117"/>
    <mergeCell ref="F107:P107"/>
    <mergeCell ref="M109:P109"/>
    <mergeCell ref="M111:Q111"/>
    <mergeCell ref="M112:Q112"/>
    <mergeCell ref="F114:I114"/>
    <mergeCell ref="L114:M114"/>
    <mergeCell ref="N114:Q114"/>
    <mergeCell ref="F121:I121"/>
    <mergeCell ref="L121:M121"/>
    <mergeCell ref="N121:Q121"/>
    <mergeCell ref="F120:I120"/>
    <mergeCell ref="F118:I118"/>
    <mergeCell ref="F119:I119"/>
    <mergeCell ref="L119:M119"/>
    <mergeCell ref="N119:Q119"/>
    <mergeCell ref="F126:I126"/>
    <mergeCell ref="L126:M126"/>
    <mergeCell ref="N126:Q126"/>
    <mergeCell ref="F127:I127"/>
    <mergeCell ref="F122:I122"/>
    <mergeCell ref="F123:I123"/>
    <mergeCell ref="L123:M123"/>
    <mergeCell ref="N123:Q123"/>
    <mergeCell ref="F124:I124"/>
    <mergeCell ref="F125:I125"/>
    <mergeCell ref="F133:I133"/>
    <mergeCell ref="L133:M133"/>
    <mergeCell ref="N133:Q133"/>
    <mergeCell ref="N128:Q128"/>
    <mergeCell ref="F129:I129"/>
    <mergeCell ref="L129:M129"/>
    <mergeCell ref="N129:Q129"/>
    <mergeCell ref="F135:I135"/>
    <mergeCell ref="L135:M135"/>
    <mergeCell ref="N135:Q135"/>
    <mergeCell ref="F136:I136"/>
    <mergeCell ref="N134:Q134"/>
    <mergeCell ref="F130:I130"/>
    <mergeCell ref="F131:I131"/>
    <mergeCell ref="L131:M131"/>
    <mergeCell ref="N131:Q131"/>
    <mergeCell ref="F132:I132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N147:Q147"/>
    <mergeCell ref="F141:I141"/>
    <mergeCell ref="N142:Q142"/>
    <mergeCell ref="F143:I143"/>
    <mergeCell ref="L143:M143"/>
    <mergeCell ref="N143:Q143"/>
    <mergeCell ref="F144:I144"/>
    <mergeCell ref="F149:I149"/>
    <mergeCell ref="L149:M149"/>
    <mergeCell ref="N149:Q149"/>
    <mergeCell ref="F148:I148"/>
    <mergeCell ref="F145:I145"/>
    <mergeCell ref="L145:M145"/>
    <mergeCell ref="N145:Q145"/>
    <mergeCell ref="F146:I146"/>
    <mergeCell ref="F147:I147"/>
    <mergeCell ref="L147:M147"/>
    <mergeCell ref="F150:I150"/>
    <mergeCell ref="N151:Q151"/>
    <mergeCell ref="F152:I152"/>
    <mergeCell ref="L152:M152"/>
    <mergeCell ref="N152:Q152"/>
    <mergeCell ref="F153:I15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"/>
  <sheetViews>
    <sheetView showGridLines="0" zoomScalePageLayoutView="0" workbookViewId="0" topLeftCell="B1">
      <pane ySplit="1" topLeftCell="A110" activePane="bottomLeft" state="frozen"/>
      <selection pane="topLeft" activeCell="A1" sqref="A1"/>
      <selection pane="bottomLeft" activeCell="K131" sqref="K13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262</v>
      </c>
      <c r="G1" s="132"/>
      <c r="H1" s="275" t="s">
        <v>263</v>
      </c>
      <c r="I1" s="275"/>
      <c r="J1" s="275"/>
      <c r="K1" s="275"/>
      <c r="L1" s="132" t="s">
        <v>264</v>
      </c>
      <c r="M1" s="130"/>
      <c r="N1" s="130"/>
      <c r="O1" s="131" t="s">
        <v>88</v>
      </c>
      <c r="P1" s="130"/>
      <c r="Q1" s="130"/>
      <c r="R1" s="130"/>
      <c r="S1" s="132" t="s">
        <v>265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6" t="s">
        <v>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09" t="s">
        <v>5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89</v>
      </c>
    </row>
    <row r="4" spans="2:46" s="2" customFormat="1" ht="37.5" customHeight="1">
      <c r="B4" s="10"/>
      <c r="C4" s="230" t="s">
        <v>90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67" t="str">
        <f>'Rekapitulace stavby'!$K$6</f>
        <v>REKONSTRUKCE KOMUNIKACE části ul.Hlavní v úseku mezi ulicemi Sportovců a Na Výsluní, Psáry- k.ú. Dolní Jirčany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11"/>
    </row>
    <row r="7" spans="2:18" s="6" customFormat="1" ht="33.75" customHeight="1">
      <c r="B7" s="19"/>
      <c r="D7" s="15" t="s">
        <v>91</v>
      </c>
      <c r="F7" s="276" t="s">
        <v>314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R7" s="20"/>
    </row>
    <row r="8" spans="2:18" s="6" customFormat="1" ht="15" customHeight="1">
      <c r="B8" s="19"/>
      <c r="D8" s="16" t="s">
        <v>16</v>
      </c>
      <c r="F8" s="14" t="s">
        <v>144</v>
      </c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73" t="s">
        <v>317</v>
      </c>
      <c r="P9" s="27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223" t="s">
        <v>26</v>
      </c>
      <c r="P11" s="206"/>
      <c r="R11" s="20"/>
    </row>
    <row r="12" spans="2:18" s="6" customFormat="1" ht="18.75" customHeight="1">
      <c r="B12" s="19"/>
      <c r="E12" s="14" t="s">
        <v>27</v>
      </c>
      <c r="M12" s="16" t="s">
        <v>28</v>
      </c>
      <c r="O12" s="223"/>
      <c r="P12" s="20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25</v>
      </c>
      <c r="O14" s="223">
        <f>IF('Rekapitulace stavby'!$AN$13="","",'Rekapitulace stavby'!$AN$13)</f>
      </c>
      <c r="P14" s="206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223">
        <f>IF('Rekapitulace stavby'!$AN$14="","",'Rekapitulace stavby'!$AN$14)</f>
      </c>
      <c r="P15" s="20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25</v>
      </c>
      <c r="O17" s="223"/>
      <c r="P17" s="206"/>
      <c r="R17" s="20"/>
    </row>
    <row r="18" spans="2:18" s="6" customFormat="1" ht="18.75" customHeight="1">
      <c r="B18" s="19"/>
      <c r="E18" s="135" t="s">
        <v>267</v>
      </c>
      <c r="M18" s="16" t="s">
        <v>28</v>
      </c>
      <c r="O18" s="223"/>
      <c r="P18" s="20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223">
        <f>IF('Rekapitulace stavby'!$AN$19="","",'Rekapitulace stavby'!$AN$19)</f>
      </c>
      <c r="P20" s="206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223">
        <f>IF('Rekapitulace stavby'!$AN$20="","",'Rekapitulace stavby'!$AN$20)</f>
      </c>
      <c r="P21" s="206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8" customFormat="1" ht="15.75" customHeight="1">
      <c r="B24" s="79"/>
      <c r="E24" s="236"/>
      <c r="F24" s="272"/>
      <c r="G24" s="272"/>
      <c r="H24" s="272"/>
      <c r="I24" s="272"/>
      <c r="J24" s="272"/>
      <c r="K24" s="272"/>
      <c r="L24" s="272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1" t="s">
        <v>92</v>
      </c>
      <c r="M27" s="213">
        <f>$N$88</f>
        <v>0</v>
      </c>
      <c r="N27" s="206"/>
      <c r="O27" s="206"/>
      <c r="P27" s="206"/>
      <c r="R27" s="20"/>
    </row>
    <row r="28" spans="2:18" s="6" customFormat="1" ht="15" customHeight="1">
      <c r="B28" s="19"/>
      <c r="D28" s="18" t="s">
        <v>93</v>
      </c>
      <c r="M28" s="213">
        <f>$N$96</f>
        <v>0</v>
      </c>
      <c r="N28" s="206"/>
      <c r="O28" s="206"/>
      <c r="P28" s="206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36</v>
      </c>
      <c r="M30" s="271">
        <f>ROUND($M$27+$M$28,2)</f>
        <v>0</v>
      </c>
      <c r="N30" s="206"/>
      <c r="O30" s="206"/>
      <c r="P30" s="206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3" t="s">
        <v>39</v>
      </c>
      <c r="H32" s="270">
        <f>M27</f>
        <v>0</v>
      </c>
      <c r="I32" s="206"/>
      <c r="J32" s="206"/>
      <c r="M32" s="270">
        <f>H32*0.21</f>
        <v>0</v>
      </c>
      <c r="N32" s="206"/>
      <c r="O32" s="206"/>
      <c r="P32" s="206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3" t="s">
        <v>39</v>
      </c>
      <c r="H33" s="270">
        <f>ROUND((SUM($BF$96:$BF$97)+SUM($BF$115:$BF$177)),2)</f>
        <v>0</v>
      </c>
      <c r="I33" s="206"/>
      <c r="J33" s="206"/>
      <c r="M33" s="270">
        <f>ROUND(ROUND((SUM($BF$96:$BF$97)+SUM($BF$115:$BF$177)),2)*$F$33,2)</f>
        <v>0</v>
      </c>
      <c r="N33" s="206"/>
      <c r="O33" s="206"/>
      <c r="P33" s="206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3" t="s">
        <v>39</v>
      </c>
      <c r="H34" s="270">
        <f>ROUND((SUM($BG$96:$BG$97)+SUM($BG$115:$BG$177)),2)</f>
        <v>0</v>
      </c>
      <c r="I34" s="206"/>
      <c r="J34" s="206"/>
      <c r="M34" s="270">
        <v>0</v>
      </c>
      <c r="N34" s="206"/>
      <c r="O34" s="206"/>
      <c r="P34" s="206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3" t="s">
        <v>39</v>
      </c>
      <c r="H35" s="270">
        <f>ROUND((SUM($BH$96:$BH$97)+SUM($BH$115:$BH$177)),2)</f>
        <v>0</v>
      </c>
      <c r="I35" s="206"/>
      <c r="J35" s="206"/>
      <c r="M35" s="270">
        <v>0</v>
      </c>
      <c r="N35" s="206"/>
      <c r="O35" s="206"/>
      <c r="P35" s="206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3" t="s">
        <v>39</v>
      </c>
      <c r="H36" s="270">
        <f>ROUND((SUM($BI$96:$BI$97)+SUM($BI$115:$BI$177)),2)</f>
        <v>0</v>
      </c>
      <c r="I36" s="206"/>
      <c r="J36" s="206"/>
      <c r="M36" s="270">
        <v>0</v>
      </c>
      <c r="N36" s="206"/>
      <c r="O36" s="206"/>
      <c r="P36" s="206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4" t="s">
        <v>45</v>
      </c>
      <c r="H38" s="31" t="s">
        <v>46</v>
      </c>
      <c r="I38" s="30"/>
      <c r="J38" s="30"/>
      <c r="K38" s="30"/>
      <c r="L38" s="229">
        <f>M30+M32</f>
        <v>0</v>
      </c>
      <c r="M38" s="225"/>
      <c r="N38" s="225"/>
      <c r="O38" s="225"/>
      <c r="P38" s="227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30" t="s">
        <v>94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67" t="str">
        <f>$F$6</f>
        <v>REKONSTRUKCE KOMUNIKACE části ul.Hlavní v úseku mezi ulicemi Sportovců a Na Výsluní, Psáry- k.ú. Dolní Jirčany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20"/>
    </row>
    <row r="79" spans="2:18" s="6" customFormat="1" ht="37.5" customHeight="1">
      <c r="B79" s="19"/>
      <c r="C79" s="49" t="s">
        <v>91</v>
      </c>
      <c r="F79" s="231" t="str">
        <f>$F$7</f>
        <v>SO 02 Komunikace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61" t="str">
        <f>IF($O$9="","",$O$9)</f>
        <v>duben 2017</v>
      </c>
      <c r="N81" s="206"/>
      <c r="O81" s="206"/>
      <c r="P81" s="20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Obec Psáry</v>
      </c>
      <c r="K83" s="16" t="s">
        <v>30</v>
      </c>
      <c r="M83" s="223" t="str">
        <f>$E$18</f>
        <v>ing.Jiří Nádvorník -TOK</v>
      </c>
      <c r="N83" s="206"/>
      <c r="O83" s="206"/>
      <c r="P83" s="206"/>
      <c r="Q83" s="206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223" t="str">
        <f>$E$21</f>
        <v> </v>
      </c>
      <c r="N84" s="206"/>
      <c r="O84" s="206"/>
      <c r="P84" s="206"/>
      <c r="Q84" s="20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69" t="s">
        <v>95</v>
      </c>
      <c r="D86" s="208"/>
      <c r="E86" s="208"/>
      <c r="F86" s="208"/>
      <c r="G86" s="208"/>
      <c r="H86" s="28"/>
      <c r="I86" s="28"/>
      <c r="J86" s="28"/>
      <c r="K86" s="28"/>
      <c r="L86" s="28"/>
      <c r="M86" s="28"/>
      <c r="N86" s="269" t="s">
        <v>96</v>
      </c>
      <c r="O86" s="206"/>
      <c r="P86" s="206"/>
      <c r="Q86" s="20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97</v>
      </c>
      <c r="N88" s="205">
        <f>$N$115</f>
        <v>0</v>
      </c>
      <c r="O88" s="206"/>
      <c r="P88" s="206"/>
      <c r="Q88" s="206"/>
      <c r="R88" s="20"/>
      <c r="AU88" s="6" t="s">
        <v>98</v>
      </c>
    </row>
    <row r="89" spans="2:18" s="64" customFormat="1" ht="25.5" customHeight="1">
      <c r="B89" s="85"/>
      <c r="D89" s="86" t="s">
        <v>99</v>
      </c>
      <c r="N89" s="268">
        <f>$N$116</f>
        <v>0</v>
      </c>
      <c r="O89" s="266"/>
      <c r="P89" s="266"/>
      <c r="Q89" s="266"/>
      <c r="R89" s="87"/>
    </row>
    <row r="90" spans="2:18" s="81" customFormat="1" ht="21" customHeight="1">
      <c r="B90" s="88"/>
      <c r="D90" s="89" t="s">
        <v>100</v>
      </c>
      <c r="N90" s="265">
        <f>$N$117</f>
        <v>0</v>
      </c>
      <c r="O90" s="266"/>
      <c r="P90" s="266"/>
      <c r="Q90" s="266"/>
      <c r="R90" s="90"/>
    </row>
    <row r="91" spans="2:18" s="81" customFormat="1" ht="21" customHeight="1">
      <c r="B91" s="88"/>
      <c r="D91" s="89" t="s">
        <v>102</v>
      </c>
      <c r="N91" s="265">
        <f>$N$146</f>
        <v>0</v>
      </c>
      <c r="O91" s="266"/>
      <c r="P91" s="266"/>
      <c r="Q91" s="266"/>
      <c r="R91" s="90"/>
    </row>
    <row r="92" spans="2:18" s="81" customFormat="1" ht="21" customHeight="1">
      <c r="B92" s="88"/>
      <c r="D92" s="89" t="s">
        <v>103</v>
      </c>
      <c r="N92" s="265">
        <f>$N$157</f>
        <v>0</v>
      </c>
      <c r="O92" s="266"/>
      <c r="P92" s="266"/>
      <c r="Q92" s="266"/>
      <c r="R92" s="90"/>
    </row>
    <row r="93" spans="2:18" s="81" customFormat="1" ht="15.75" customHeight="1">
      <c r="B93" s="88"/>
      <c r="D93" s="89" t="s">
        <v>104</v>
      </c>
      <c r="N93" s="265">
        <f>$N$173</f>
        <v>0</v>
      </c>
      <c r="O93" s="266"/>
      <c r="P93" s="266"/>
      <c r="Q93" s="266"/>
      <c r="R93" s="90"/>
    </row>
    <row r="94" spans="2:18" s="81" customFormat="1" ht="21" customHeight="1">
      <c r="B94" s="88"/>
      <c r="D94" s="89" t="s">
        <v>145</v>
      </c>
      <c r="N94" s="265">
        <f>$N$176</f>
        <v>0</v>
      </c>
      <c r="O94" s="266"/>
      <c r="P94" s="266"/>
      <c r="Q94" s="266"/>
      <c r="R94" s="90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59" t="s">
        <v>105</v>
      </c>
      <c r="N96" s="205">
        <v>0</v>
      </c>
      <c r="O96" s="206"/>
      <c r="P96" s="206"/>
      <c r="Q96" s="206"/>
      <c r="R96" s="20"/>
      <c r="T96" s="91"/>
      <c r="U96" s="92" t="s">
        <v>37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7" t="s">
        <v>87</v>
      </c>
      <c r="D98" s="28"/>
      <c r="E98" s="28"/>
      <c r="F98" s="28"/>
      <c r="G98" s="28"/>
      <c r="H98" s="28"/>
      <c r="I98" s="28"/>
      <c r="J98" s="28"/>
      <c r="K98" s="28"/>
      <c r="L98" s="207">
        <f>ROUND(SUM($N$88+$N$96),2)</f>
        <v>0</v>
      </c>
      <c r="M98" s="208"/>
      <c r="N98" s="208"/>
      <c r="O98" s="208"/>
      <c r="P98" s="208"/>
      <c r="Q98" s="208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230" t="s">
        <v>106</v>
      </c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267" t="str">
        <f>$F$6</f>
        <v>REKONSTRUKCE KOMUNIKACE části ul.Hlavní v úseku mezi ulicemi Sportovců a Na Výsluní, Psáry- k.ú. Dolní Jirčany</v>
      </c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R106" s="20"/>
    </row>
    <row r="107" spans="2:18" s="6" customFormat="1" ht="37.5" customHeight="1">
      <c r="B107" s="19"/>
      <c r="C107" s="49" t="s">
        <v>91</v>
      </c>
      <c r="F107" s="231" t="str">
        <f>$F$7</f>
        <v>SO 02 Komunikace</v>
      </c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19</v>
      </c>
      <c r="F109" s="14" t="str">
        <f>$F$9</f>
        <v> </v>
      </c>
      <c r="K109" s="16" t="s">
        <v>21</v>
      </c>
      <c r="M109" s="261" t="str">
        <f>IF($O$9="","",$O$9)</f>
        <v>duben 2017</v>
      </c>
      <c r="N109" s="206"/>
      <c r="O109" s="206"/>
      <c r="P109" s="206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24</v>
      </c>
      <c r="F111" s="14" t="str">
        <f>$E$12</f>
        <v>Obec Psáry</v>
      </c>
      <c r="K111" s="16" t="s">
        <v>30</v>
      </c>
      <c r="M111" s="223" t="str">
        <f>$E$18</f>
        <v>ing.Jiří Nádvorník -TOK</v>
      </c>
      <c r="N111" s="206"/>
      <c r="O111" s="206"/>
      <c r="P111" s="206"/>
      <c r="Q111" s="206"/>
      <c r="R111" s="20"/>
    </row>
    <row r="112" spans="2:18" s="6" customFormat="1" ht="15" customHeight="1">
      <c r="B112" s="19"/>
      <c r="C112" s="16" t="s">
        <v>29</v>
      </c>
      <c r="F112" s="14" t="str">
        <f>IF($E$15="","",$E$15)</f>
        <v> </v>
      </c>
      <c r="K112" s="16" t="s">
        <v>32</v>
      </c>
      <c r="M112" s="223" t="str">
        <f>$E$21</f>
        <v> </v>
      </c>
      <c r="N112" s="206"/>
      <c r="O112" s="206"/>
      <c r="P112" s="206"/>
      <c r="Q112" s="206"/>
      <c r="R112" s="20"/>
    </row>
    <row r="113" spans="2:18" s="6" customFormat="1" ht="11.25" customHeight="1">
      <c r="B113" s="19"/>
      <c r="R113" s="20"/>
    </row>
    <row r="114" spans="2:27" s="93" customFormat="1" ht="30" customHeight="1">
      <c r="B114" s="94"/>
      <c r="C114" s="95" t="s">
        <v>107</v>
      </c>
      <c r="D114" s="96" t="s">
        <v>108</v>
      </c>
      <c r="E114" s="96" t="s">
        <v>55</v>
      </c>
      <c r="F114" s="262" t="s">
        <v>109</v>
      </c>
      <c r="G114" s="263"/>
      <c r="H114" s="263"/>
      <c r="I114" s="263"/>
      <c r="J114" s="96" t="s">
        <v>110</v>
      </c>
      <c r="K114" s="96" t="s">
        <v>111</v>
      </c>
      <c r="L114" s="262" t="s">
        <v>112</v>
      </c>
      <c r="M114" s="263"/>
      <c r="N114" s="262" t="s">
        <v>113</v>
      </c>
      <c r="O114" s="263"/>
      <c r="P114" s="263"/>
      <c r="Q114" s="264"/>
      <c r="R114" s="97"/>
      <c r="T114" s="54" t="s">
        <v>114</v>
      </c>
      <c r="U114" s="55" t="s">
        <v>37</v>
      </c>
      <c r="V114" s="55" t="s">
        <v>115</v>
      </c>
      <c r="W114" s="55" t="s">
        <v>116</v>
      </c>
      <c r="X114" s="55" t="s">
        <v>117</v>
      </c>
      <c r="Y114" s="55" t="s">
        <v>118</v>
      </c>
      <c r="Z114" s="55" t="s">
        <v>119</v>
      </c>
      <c r="AA114" s="56" t="s">
        <v>120</v>
      </c>
    </row>
    <row r="115" spans="2:63" s="6" customFormat="1" ht="30" customHeight="1">
      <c r="B115" s="19"/>
      <c r="C115" s="59" t="s">
        <v>92</v>
      </c>
      <c r="N115" s="257">
        <f>N116</f>
        <v>0</v>
      </c>
      <c r="O115" s="206"/>
      <c r="P115" s="206"/>
      <c r="Q115" s="206"/>
      <c r="R115" s="20"/>
      <c r="T115" s="58"/>
      <c r="U115" s="33"/>
      <c r="V115" s="33"/>
      <c r="W115" s="98" t="e">
        <f>$W$116</f>
        <v>#REF!</v>
      </c>
      <c r="X115" s="33"/>
      <c r="Y115" s="98" t="e">
        <f>$Y$116</f>
        <v>#REF!</v>
      </c>
      <c r="Z115" s="33"/>
      <c r="AA115" s="99" t="e">
        <f>$AA$116</f>
        <v>#REF!</v>
      </c>
      <c r="AT115" s="6" t="s">
        <v>72</v>
      </c>
      <c r="AU115" s="6" t="s">
        <v>98</v>
      </c>
      <c r="BK115" s="100" t="e">
        <f>$BK$116</f>
        <v>#REF!</v>
      </c>
    </row>
    <row r="116" spans="2:63" s="101" customFormat="1" ht="37.5" customHeight="1">
      <c r="B116" s="102"/>
      <c r="D116" s="103" t="s">
        <v>99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258">
        <f>N117+N146+N157+N173+N176</f>
        <v>0</v>
      </c>
      <c r="O116" s="259"/>
      <c r="P116" s="259"/>
      <c r="Q116" s="259"/>
      <c r="R116" s="105"/>
      <c r="T116" s="106"/>
      <c r="W116" s="107" t="e">
        <f>$W$117+#REF!+$W$146+$W$157+$W$176</f>
        <v>#REF!</v>
      </c>
      <c r="Y116" s="107" t="e">
        <f>$Y$117+#REF!+$Y$146+$Y$157+$Y$176</f>
        <v>#REF!</v>
      </c>
      <c r="AA116" s="108" t="e">
        <f>$AA$117+#REF!+$AA$146+$AA$157+$AA$176</f>
        <v>#REF!</v>
      </c>
      <c r="AR116" s="104" t="s">
        <v>18</v>
      </c>
      <c r="AT116" s="104" t="s">
        <v>72</v>
      </c>
      <c r="AU116" s="104" t="s">
        <v>73</v>
      </c>
      <c r="AY116" s="104" t="s">
        <v>121</v>
      </c>
      <c r="BK116" s="109" t="e">
        <f>$BK$117+#REF!+$BK$146+$BK$157+$BK$176</f>
        <v>#REF!</v>
      </c>
    </row>
    <row r="117" spans="2:63" s="101" customFormat="1" ht="21" customHeight="1">
      <c r="B117" s="102"/>
      <c r="D117" s="110" t="s">
        <v>100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260">
        <f>SUM(N118:Q144)</f>
        <v>0</v>
      </c>
      <c r="O117" s="259"/>
      <c r="P117" s="259"/>
      <c r="Q117" s="259"/>
      <c r="R117" s="105"/>
      <c r="T117" s="106"/>
      <c r="W117" s="107">
        <f>SUM($W$118:$W$145)</f>
        <v>532.091824</v>
      </c>
      <c r="Y117" s="107">
        <f>SUM($Y$118:$Y$145)</f>
        <v>10.356192</v>
      </c>
      <c r="AA117" s="108">
        <f>SUM($AA$118:$AA$145)</f>
        <v>690.2778666666667</v>
      </c>
      <c r="AR117" s="104" t="s">
        <v>18</v>
      </c>
      <c r="AT117" s="104" t="s">
        <v>72</v>
      </c>
      <c r="AU117" s="104" t="s">
        <v>18</v>
      </c>
      <c r="AY117" s="104" t="s">
        <v>121</v>
      </c>
      <c r="BK117" s="109">
        <f>SUM($BK$118:$BK$145)</f>
        <v>0</v>
      </c>
    </row>
    <row r="118" spans="2:65" s="6" customFormat="1" ht="27" customHeight="1">
      <c r="B118" s="19"/>
      <c r="C118" s="111" t="s">
        <v>18</v>
      </c>
      <c r="D118" s="111" t="s">
        <v>122</v>
      </c>
      <c r="E118" s="112" t="s">
        <v>146</v>
      </c>
      <c r="F118" s="282" t="s">
        <v>274</v>
      </c>
      <c r="G118" s="283"/>
      <c r="H118" s="283"/>
      <c r="I118" s="283"/>
      <c r="J118" s="113" t="s">
        <v>130</v>
      </c>
      <c r="K118" s="114">
        <f>176*5.7</f>
        <v>1003.2</v>
      </c>
      <c r="L118" s="284"/>
      <c r="M118" s="283"/>
      <c r="N118" s="284">
        <f>ROUND($L$118*$K$118,2)</f>
        <v>0</v>
      </c>
      <c r="O118" s="283"/>
      <c r="P118" s="283"/>
      <c r="Q118" s="283"/>
      <c r="R118" s="20"/>
      <c r="T118" s="115"/>
      <c r="U118" s="26" t="s">
        <v>38</v>
      </c>
      <c r="V118" s="116">
        <v>0.144</v>
      </c>
      <c r="W118" s="116">
        <f>$V$118*$K$118</f>
        <v>144.4608</v>
      </c>
      <c r="X118" s="116">
        <v>0</v>
      </c>
      <c r="Y118" s="116">
        <f>$X$118*$K$118</f>
        <v>0</v>
      </c>
      <c r="Z118" s="116">
        <v>0.56</v>
      </c>
      <c r="AA118" s="117">
        <f>$Z$118*$K$118</f>
        <v>561.792</v>
      </c>
      <c r="AR118" s="6" t="s">
        <v>123</v>
      </c>
      <c r="AT118" s="6" t="s">
        <v>122</v>
      </c>
      <c r="AU118" s="6" t="s">
        <v>89</v>
      </c>
      <c r="AY118" s="6" t="s">
        <v>121</v>
      </c>
      <c r="BE118" s="118">
        <f>IF($U$118="základní",$N$118,0)</f>
        <v>0</v>
      </c>
      <c r="BF118" s="118">
        <f>IF($U$118="snížená",$N$118,0)</f>
        <v>0</v>
      </c>
      <c r="BG118" s="118">
        <f>IF($U$118="zákl. přenesená",$N$118,0)</f>
        <v>0</v>
      </c>
      <c r="BH118" s="118">
        <f>IF($U$118="sníž. přenesená",$N$118,0)</f>
        <v>0</v>
      </c>
      <c r="BI118" s="118">
        <f>IF($U$118="nulová",$N$118,0)</f>
        <v>0</v>
      </c>
      <c r="BJ118" s="6" t="s">
        <v>18</v>
      </c>
      <c r="BK118" s="118">
        <f>ROUND($L$118*$K$118,2)</f>
        <v>0</v>
      </c>
      <c r="BL118" s="6" t="s">
        <v>123</v>
      </c>
      <c r="BM118" s="6" t="s">
        <v>147</v>
      </c>
    </row>
    <row r="119" spans="2:65" s="6" customFormat="1" ht="27" customHeight="1">
      <c r="B119" s="19"/>
      <c r="C119" s="111" t="s">
        <v>89</v>
      </c>
      <c r="D119" s="111" t="s">
        <v>122</v>
      </c>
      <c r="E119" s="112" t="s">
        <v>148</v>
      </c>
      <c r="F119" s="282" t="s">
        <v>149</v>
      </c>
      <c r="G119" s="283"/>
      <c r="H119" s="283"/>
      <c r="I119" s="283"/>
      <c r="J119" s="113" t="s">
        <v>130</v>
      </c>
      <c r="K119" s="114">
        <f>176*(4.5+3.9+4.5+4.3+4.1+3.7+2.7+4.4+4.2)/9</f>
        <v>709.8666666666666</v>
      </c>
      <c r="L119" s="284"/>
      <c r="M119" s="283"/>
      <c r="N119" s="284">
        <f>ROUND($L$119*$K$119,2)</f>
        <v>0</v>
      </c>
      <c r="O119" s="283"/>
      <c r="P119" s="283"/>
      <c r="Q119" s="283"/>
      <c r="R119" s="20"/>
      <c r="T119" s="115"/>
      <c r="U119" s="26" t="s">
        <v>38</v>
      </c>
      <c r="V119" s="116">
        <v>0.078</v>
      </c>
      <c r="W119" s="116">
        <f>$V$119*$K$119</f>
        <v>55.36959999999999</v>
      </c>
      <c r="X119" s="116">
        <v>0</v>
      </c>
      <c r="Y119" s="116">
        <f>$X$119*$K$119</f>
        <v>0</v>
      </c>
      <c r="Z119" s="116">
        <v>0.181</v>
      </c>
      <c r="AA119" s="117">
        <f>$Z$119*$K$119</f>
        <v>128.48586666666665</v>
      </c>
      <c r="AR119" s="6" t="s">
        <v>123</v>
      </c>
      <c r="AT119" s="6" t="s">
        <v>122</v>
      </c>
      <c r="AU119" s="6" t="s">
        <v>89</v>
      </c>
      <c r="AY119" s="6" t="s">
        <v>121</v>
      </c>
      <c r="BE119" s="118">
        <f>IF($U$119="základní",$N$119,0)</f>
        <v>0</v>
      </c>
      <c r="BF119" s="118">
        <f>IF($U$119="snížená",$N$119,0)</f>
        <v>0</v>
      </c>
      <c r="BG119" s="118">
        <f>IF($U$119="zákl. přenesená",$N$119,0)</f>
        <v>0</v>
      </c>
      <c r="BH119" s="118">
        <f>IF($U$119="sníž. přenesená",$N$119,0)</f>
        <v>0</v>
      </c>
      <c r="BI119" s="118">
        <f>IF($U$119="nulová",$N$119,0)</f>
        <v>0</v>
      </c>
      <c r="BJ119" s="6" t="s">
        <v>18</v>
      </c>
      <c r="BK119" s="118">
        <f>ROUND($L$119*$K$119,2)</f>
        <v>0</v>
      </c>
      <c r="BL119" s="6" t="s">
        <v>123</v>
      </c>
      <c r="BM119" s="6" t="s">
        <v>150</v>
      </c>
    </row>
    <row r="120" spans="2:51" s="6" customFormat="1" ht="18.75" customHeight="1">
      <c r="B120" s="119"/>
      <c r="E120" s="120"/>
      <c r="F120" s="255"/>
      <c r="G120" s="256"/>
      <c r="H120" s="256"/>
      <c r="I120" s="256"/>
      <c r="K120" s="121"/>
      <c r="R120" s="122"/>
      <c r="T120" s="123"/>
      <c r="AA120" s="124"/>
      <c r="AT120" s="120" t="s">
        <v>128</v>
      </c>
      <c r="AU120" s="120" t="s">
        <v>89</v>
      </c>
      <c r="AV120" s="120" t="s">
        <v>89</v>
      </c>
      <c r="AW120" s="120" t="s">
        <v>98</v>
      </c>
      <c r="AX120" s="120" t="s">
        <v>18</v>
      </c>
      <c r="AY120" s="120" t="s">
        <v>121</v>
      </c>
    </row>
    <row r="121" spans="2:65" s="6" customFormat="1" ht="27" customHeight="1">
      <c r="B121" s="19"/>
      <c r="C121" s="111">
        <v>4</v>
      </c>
      <c r="D121" s="111" t="s">
        <v>122</v>
      </c>
      <c r="E121" s="112" t="s">
        <v>153</v>
      </c>
      <c r="F121" s="282" t="s">
        <v>154</v>
      </c>
      <c r="G121" s="283"/>
      <c r="H121" s="283"/>
      <c r="I121" s="283"/>
      <c r="J121" s="113" t="s">
        <v>127</v>
      </c>
      <c r="K121" s="114">
        <f>((0.5+1+1+1.1+1.2+1+1+1+1.5+1.5)/10*1.8*176)</f>
        <v>342.144</v>
      </c>
      <c r="L121" s="284"/>
      <c r="M121" s="283"/>
      <c r="N121" s="284">
        <f>ROUND($L$121*$K$121,2)</f>
        <v>0</v>
      </c>
      <c r="O121" s="283"/>
      <c r="P121" s="283"/>
      <c r="Q121" s="283"/>
      <c r="R121" s="20"/>
      <c r="T121" s="115"/>
      <c r="U121" s="26" t="s">
        <v>38</v>
      </c>
      <c r="V121" s="116">
        <v>0.121</v>
      </c>
      <c r="W121" s="116">
        <f>$V$121*$K$121</f>
        <v>41.399423999999996</v>
      </c>
      <c r="X121" s="116">
        <v>0</v>
      </c>
      <c r="Y121" s="116">
        <f>$X$121*$K$121</f>
        <v>0</v>
      </c>
      <c r="Z121" s="116">
        <v>0</v>
      </c>
      <c r="AA121" s="117">
        <f>$Z$121*$K$121</f>
        <v>0</v>
      </c>
      <c r="AR121" s="6" t="s">
        <v>123</v>
      </c>
      <c r="AT121" s="6" t="s">
        <v>122</v>
      </c>
      <c r="AU121" s="6" t="s">
        <v>89</v>
      </c>
      <c r="AY121" s="6" t="s">
        <v>121</v>
      </c>
      <c r="BE121" s="118">
        <f>IF($U$121="základní",$N$121,0)</f>
        <v>0</v>
      </c>
      <c r="BF121" s="118">
        <f>IF($U$121="snížená",$N$121,0)</f>
        <v>0</v>
      </c>
      <c r="BG121" s="118">
        <f>IF($U$121="zákl. přenesená",$N$121,0)</f>
        <v>0</v>
      </c>
      <c r="BH121" s="118">
        <f>IF($U$121="sníž. přenesená",$N$121,0)</f>
        <v>0</v>
      </c>
      <c r="BI121" s="118">
        <f>IF($U$121="nulová",$N$121,0)</f>
        <v>0</v>
      </c>
      <c r="BJ121" s="6" t="s">
        <v>18</v>
      </c>
      <c r="BK121" s="118">
        <f>ROUND($L$121*$K$121,2)</f>
        <v>0</v>
      </c>
      <c r="BL121" s="6" t="s">
        <v>123</v>
      </c>
      <c r="BM121" s="6" t="s">
        <v>155</v>
      </c>
    </row>
    <row r="122" spans="2:51" s="6" customFormat="1" ht="18.75" customHeight="1">
      <c r="B122" s="119"/>
      <c r="E122" s="120"/>
      <c r="F122" s="285" t="s">
        <v>277</v>
      </c>
      <c r="G122" s="256"/>
      <c r="H122" s="256"/>
      <c r="I122" s="256"/>
      <c r="K122" s="121"/>
      <c r="R122" s="122"/>
      <c r="T122" s="123"/>
      <c r="AA122" s="124"/>
      <c r="AT122" s="120" t="s">
        <v>128</v>
      </c>
      <c r="AU122" s="120" t="s">
        <v>89</v>
      </c>
      <c r="AV122" s="120" t="s">
        <v>89</v>
      </c>
      <c r="AW122" s="120" t="s">
        <v>98</v>
      </c>
      <c r="AX122" s="120" t="s">
        <v>18</v>
      </c>
      <c r="AY122" s="120" t="s">
        <v>121</v>
      </c>
    </row>
    <row r="123" spans="2:65" s="6" customFormat="1" ht="27" customHeight="1">
      <c r="B123" s="19"/>
      <c r="C123" s="111">
        <v>5</v>
      </c>
      <c r="D123" s="111" t="s">
        <v>122</v>
      </c>
      <c r="E123" s="112" t="s">
        <v>156</v>
      </c>
      <c r="F123" s="282" t="s">
        <v>157</v>
      </c>
      <c r="G123" s="283"/>
      <c r="H123" s="283"/>
      <c r="I123" s="283"/>
      <c r="J123" s="113" t="s">
        <v>127</v>
      </c>
      <c r="K123" s="114">
        <f>176*5.7*0.1</f>
        <v>100.32000000000001</v>
      </c>
      <c r="L123" s="284"/>
      <c r="M123" s="283"/>
      <c r="N123" s="284">
        <f>ROUND($L$123*$K$123,2)</f>
        <v>0</v>
      </c>
      <c r="O123" s="283"/>
      <c r="P123" s="283"/>
      <c r="Q123" s="283"/>
      <c r="R123" s="20"/>
      <c r="T123" s="115"/>
      <c r="U123" s="26" t="s">
        <v>38</v>
      </c>
      <c r="V123" s="116">
        <v>0.223</v>
      </c>
      <c r="W123" s="116">
        <f>$V$123*$K$123</f>
        <v>22.371360000000003</v>
      </c>
      <c r="X123" s="116">
        <v>0</v>
      </c>
      <c r="Y123" s="116">
        <f>$X$123*$K$123</f>
        <v>0</v>
      </c>
      <c r="Z123" s="116">
        <v>0</v>
      </c>
      <c r="AA123" s="117">
        <f>$Z$123*$K$123</f>
        <v>0</v>
      </c>
      <c r="AR123" s="6" t="s">
        <v>123</v>
      </c>
      <c r="AT123" s="6" t="s">
        <v>122</v>
      </c>
      <c r="AU123" s="6" t="s">
        <v>89</v>
      </c>
      <c r="AY123" s="6" t="s">
        <v>121</v>
      </c>
      <c r="BE123" s="118">
        <f>IF($U$123="základní",$N$123,0)</f>
        <v>0</v>
      </c>
      <c r="BF123" s="118">
        <f>IF($U$123="snížená",$N$123,0)</f>
        <v>0</v>
      </c>
      <c r="BG123" s="118">
        <f>IF($U$123="zákl. přenesená",$N$123,0)</f>
        <v>0</v>
      </c>
      <c r="BH123" s="118">
        <f>IF($U$123="sníž. přenesená",$N$123,0)</f>
        <v>0</v>
      </c>
      <c r="BI123" s="118">
        <f>IF($U$123="nulová",$N$123,0)</f>
        <v>0</v>
      </c>
      <c r="BJ123" s="6" t="s">
        <v>18</v>
      </c>
      <c r="BK123" s="118">
        <f>ROUND($L$123*$K$123,2)</f>
        <v>0</v>
      </c>
      <c r="BL123" s="6" t="s">
        <v>123</v>
      </c>
      <c r="BM123" s="6" t="s">
        <v>158</v>
      </c>
    </row>
    <row r="124" spans="2:51" s="6" customFormat="1" ht="18.75" customHeight="1">
      <c r="B124" s="119"/>
      <c r="E124" s="120"/>
      <c r="F124" s="255"/>
      <c r="G124" s="256"/>
      <c r="H124" s="256"/>
      <c r="I124" s="256"/>
      <c r="K124" s="121"/>
      <c r="R124" s="122"/>
      <c r="T124" s="123"/>
      <c r="AA124" s="124"/>
      <c r="AT124" s="120" t="s">
        <v>128</v>
      </c>
      <c r="AU124" s="120" t="s">
        <v>89</v>
      </c>
      <c r="AV124" s="120" t="s">
        <v>89</v>
      </c>
      <c r="AW124" s="120" t="s">
        <v>98</v>
      </c>
      <c r="AX124" s="120" t="s">
        <v>18</v>
      </c>
      <c r="AY124" s="120" t="s">
        <v>121</v>
      </c>
    </row>
    <row r="125" spans="2:65" s="6" customFormat="1" ht="27" customHeight="1">
      <c r="B125" s="19"/>
      <c r="C125" s="111">
        <v>6</v>
      </c>
      <c r="D125" s="111" t="s">
        <v>122</v>
      </c>
      <c r="E125" s="112" t="s">
        <v>159</v>
      </c>
      <c r="F125" s="282" t="s">
        <v>160</v>
      </c>
      <c r="G125" s="283"/>
      <c r="H125" s="283"/>
      <c r="I125" s="283"/>
      <c r="J125" s="113" t="s">
        <v>127</v>
      </c>
      <c r="K125" s="114">
        <f>K123*0.3</f>
        <v>30.096</v>
      </c>
      <c r="L125" s="284"/>
      <c r="M125" s="283"/>
      <c r="N125" s="284">
        <f>ROUND($L$125*$K$125,2)</f>
        <v>0</v>
      </c>
      <c r="O125" s="283"/>
      <c r="P125" s="283"/>
      <c r="Q125" s="283"/>
      <c r="R125" s="20"/>
      <c r="T125" s="115"/>
      <c r="U125" s="26" t="s">
        <v>38</v>
      </c>
      <c r="V125" s="116">
        <v>0.083</v>
      </c>
      <c r="W125" s="116">
        <f>$V$125*$K$125</f>
        <v>2.497968</v>
      </c>
      <c r="X125" s="116">
        <v>0</v>
      </c>
      <c r="Y125" s="116">
        <f>$X$125*$K$125</f>
        <v>0</v>
      </c>
      <c r="Z125" s="116">
        <v>0</v>
      </c>
      <c r="AA125" s="117">
        <f>$Z$125*$K$125</f>
        <v>0</v>
      </c>
      <c r="AR125" s="6" t="s">
        <v>123</v>
      </c>
      <c r="AT125" s="6" t="s">
        <v>122</v>
      </c>
      <c r="AU125" s="6" t="s">
        <v>89</v>
      </c>
      <c r="AY125" s="6" t="s">
        <v>121</v>
      </c>
      <c r="BE125" s="118">
        <f>IF($U$125="základní",$N$125,0)</f>
        <v>0</v>
      </c>
      <c r="BF125" s="118">
        <f>IF($U$125="snížená",$N$125,0)</f>
        <v>0</v>
      </c>
      <c r="BG125" s="118">
        <f>IF($U$125="zákl. přenesená",$N$125,0)</f>
        <v>0</v>
      </c>
      <c r="BH125" s="118">
        <f>IF($U$125="sníž. přenesená",$N$125,0)</f>
        <v>0</v>
      </c>
      <c r="BI125" s="118">
        <f>IF($U$125="nulová",$N$125,0)</f>
        <v>0</v>
      </c>
      <c r="BJ125" s="6" t="s">
        <v>18</v>
      </c>
      <c r="BK125" s="118">
        <f>ROUND($L$125*$K$125,2)</f>
        <v>0</v>
      </c>
      <c r="BL125" s="6" t="s">
        <v>123</v>
      </c>
      <c r="BM125" s="6" t="s">
        <v>161</v>
      </c>
    </row>
    <row r="126" spans="2:51" s="6" customFormat="1" ht="18.75" customHeight="1">
      <c r="B126" s="119"/>
      <c r="E126" s="120"/>
      <c r="F126" s="255" t="s">
        <v>278</v>
      </c>
      <c r="G126" s="256"/>
      <c r="H126" s="256"/>
      <c r="I126" s="256"/>
      <c r="K126" s="121"/>
      <c r="R126" s="122"/>
      <c r="T126" s="123"/>
      <c r="AA126" s="124"/>
      <c r="AT126" s="120" t="s">
        <v>128</v>
      </c>
      <c r="AU126" s="120" t="s">
        <v>89</v>
      </c>
      <c r="AV126" s="120" t="s">
        <v>89</v>
      </c>
      <c r="AW126" s="120" t="s">
        <v>98</v>
      </c>
      <c r="AX126" s="120" t="s">
        <v>18</v>
      </c>
      <c r="AY126" s="120" t="s">
        <v>121</v>
      </c>
    </row>
    <row r="127" spans="2:65" s="137" customFormat="1" ht="27" customHeight="1">
      <c r="B127" s="138"/>
      <c r="C127" s="139">
        <v>8</v>
      </c>
      <c r="D127" s="139" t="s">
        <v>122</v>
      </c>
      <c r="E127" s="140" t="s">
        <v>131</v>
      </c>
      <c r="F127" s="248" t="s">
        <v>308</v>
      </c>
      <c r="G127" s="242"/>
      <c r="H127" s="242"/>
      <c r="I127" s="242"/>
      <c r="J127" s="141" t="s">
        <v>127</v>
      </c>
      <c r="K127" s="142">
        <f>K118*0.2+K121+K123</f>
        <v>643.104</v>
      </c>
      <c r="L127" s="243"/>
      <c r="M127" s="242"/>
      <c r="N127" s="243">
        <f>K127*L127</f>
        <v>0</v>
      </c>
      <c r="O127" s="242"/>
      <c r="P127" s="242"/>
      <c r="Q127" s="242"/>
      <c r="R127" s="143"/>
      <c r="T127" s="144"/>
      <c r="U127" s="145" t="s">
        <v>38</v>
      </c>
      <c r="V127" s="146">
        <v>0.083</v>
      </c>
      <c r="W127" s="146">
        <f>$V$127*$K$127</f>
        <v>53.377632000000006</v>
      </c>
      <c r="X127" s="146">
        <v>0</v>
      </c>
      <c r="Y127" s="146">
        <f>$X$127*$K$127</f>
        <v>0</v>
      </c>
      <c r="Z127" s="146">
        <v>0</v>
      </c>
      <c r="AA127" s="147">
        <f>$Z$127*$K$127</f>
        <v>0</v>
      </c>
      <c r="AR127" s="137" t="s">
        <v>123</v>
      </c>
      <c r="AT127" s="137" t="s">
        <v>122</v>
      </c>
      <c r="AU127" s="137" t="s">
        <v>89</v>
      </c>
      <c r="AY127" s="137" t="s">
        <v>121</v>
      </c>
      <c r="BE127" s="148">
        <f>IF($U$127="základní",$N$127,0)</f>
        <v>0</v>
      </c>
      <c r="BF127" s="148">
        <f>IF($U$127="snížená",$N$127,0)</f>
        <v>0</v>
      </c>
      <c r="BG127" s="148">
        <f>IF($U$127="zákl. přenesená",$N$127,0)</f>
        <v>0</v>
      </c>
      <c r="BH127" s="148">
        <f>IF($U$127="sníž. přenesená",$N$127,0)</f>
        <v>0</v>
      </c>
      <c r="BI127" s="148">
        <f>IF($U$127="nulová",$N$127,0)</f>
        <v>0</v>
      </c>
      <c r="BJ127" s="137" t="s">
        <v>18</v>
      </c>
      <c r="BK127" s="148">
        <f>ROUND($L$127*$K$127,2)</f>
        <v>0</v>
      </c>
      <c r="BL127" s="137" t="s">
        <v>123</v>
      </c>
      <c r="BM127" s="137" t="s">
        <v>165</v>
      </c>
    </row>
    <row r="128" spans="2:47" s="137" customFormat="1" ht="18.75" customHeight="1">
      <c r="B128" s="138"/>
      <c r="F128" s="253" t="s">
        <v>132</v>
      </c>
      <c r="G128" s="254"/>
      <c r="H128" s="254"/>
      <c r="I128" s="254"/>
      <c r="R128" s="143"/>
      <c r="T128" s="155"/>
      <c r="AA128" s="156"/>
      <c r="AT128" s="137" t="s">
        <v>133</v>
      </c>
      <c r="AU128" s="137" t="s">
        <v>89</v>
      </c>
    </row>
    <row r="129" spans="2:51" s="137" customFormat="1" ht="18.75" customHeight="1">
      <c r="B129" s="149"/>
      <c r="E129" s="150"/>
      <c r="F129" s="244"/>
      <c r="G129" s="238"/>
      <c r="H129" s="238"/>
      <c r="I129" s="238"/>
      <c r="K129" s="151">
        <v>650.4</v>
      </c>
      <c r="R129" s="152"/>
      <c r="T129" s="153"/>
      <c r="AA129" s="154"/>
      <c r="AT129" s="150" t="s">
        <v>128</v>
      </c>
      <c r="AU129" s="150" t="s">
        <v>89</v>
      </c>
      <c r="AV129" s="150" t="s">
        <v>89</v>
      </c>
      <c r="AW129" s="150" t="s">
        <v>98</v>
      </c>
      <c r="AX129" s="150" t="s">
        <v>18</v>
      </c>
      <c r="AY129" s="150" t="s">
        <v>121</v>
      </c>
    </row>
    <row r="130" spans="2:65" s="137" customFormat="1" ht="27" customHeight="1">
      <c r="B130" s="138"/>
      <c r="C130" s="139">
        <v>9</v>
      </c>
      <c r="D130" s="139" t="s">
        <v>122</v>
      </c>
      <c r="E130" s="140" t="s">
        <v>134</v>
      </c>
      <c r="F130" s="241" t="s">
        <v>135</v>
      </c>
      <c r="G130" s="242"/>
      <c r="H130" s="242"/>
      <c r="I130" s="242"/>
      <c r="J130" s="141" t="s">
        <v>136</v>
      </c>
      <c r="K130" s="142">
        <f>K131</f>
        <v>1157.5872000000002</v>
      </c>
      <c r="L130" s="243"/>
      <c r="M130" s="242"/>
      <c r="N130" s="243">
        <f>ROUND($L$130*$K$130,2)</f>
        <v>0</v>
      </c>
      <c r="O130" s="242"/>
      <c r="P130" s="242"/>
      <c r="Q130" s="242"/>
      <c r="R130" s="143"/>
      <c r="T130" s="144"/>
      <c r="U130" s="145" t="s">
        <v>38</v>
      </c>
      <c r="V130" s="146">
        <v>0</v>
      </c>
      <c r="W130" s="146">
        <f>$V$130*$K$130</f>
        <v>0</v>
      </c>
      <c r="X130" s="146">
        <v>0</v>
      </c>
      <c r="Y130" s="146">
        <f>$X$130*$K$130</f>
        <v>0</v>
      </c>
      <c r="Z130" s="146">
        <v>0</v>
      </c>
      <c r="AA130" s="147">
        <f>$Z$130*$K$130</f>
        <v>0</v>
      </c>
      <c r="AR130" s="137" t="s">
        <v>123</v>
      </c>
      <c r="AT130" s="137" t="s">
        <v>122</v>
      </c>
      <c r="AU130" s="137" t="s">
        <v>89</v>
      </c>
      <c r="AY130" s="137" t="s">
        <v>121</v>
      </c>
      <c r="BE130" s="148">
        <f>IF($U$130="základní",$N$130,0)</f>
        <v>0</v>
      </c>
      <c r="BF130" s="148">
        <f>IF($U$130="snížená",$N$130,0)</f>
        <v>0</v>
      </c>
      <c r="BG130" s="148">
        <f>IF($U$130="zákl. přenesená",$N$130,0)</f>
        <v>0</v>
      </c>
      <c r="BH130" s="148">
        <f>IF($U$130="sníž. přenesená",$N$130,0)</f>
        <v>0</v>
      </c>
      <c r="BI130" s="148">
        <f>IF($U$130="nulová",$N$130,0)</f>
        <v>0</v>
      </c>
      <c r="BJ130" s="137" t="s">
        <v>18</v>
      </c>
      <c r="BK130" s="148">
        <f>ROUND($L$130*$K$130,2)</f>
        <v>0</v>
      </c>
      <c r="BL130" s="137" t="s">
        <v>123</v>
      </c>
      <c r="BM130" s="137" t="s">
        <v>166</v>
      </c>
    </row>
    <row r="131" spans="2:51" s="137" customFormat="1" ht="18.75" customHeight="1">
      <c r="B131" s="149"/>
      <c r="E131" s="150"/>
      <c r="F131" s="244" t="s">
        <v>318</v>
      </c>
      <c r="G131" s="238"/>
      <c r="H131" s="238"/>
      <c r="I131" s="238"/>
      <c r="K131" s="151">
        <f>K127*1.8</f>
        <v>1157.5872000000002</v>
      </c>
      <c r="R131" s="152"/>
      <c r="T131" s="153"/>
      <c r="AA131" s="154"/>
      <c r="AT131" s="150" t="s">
        <v>128</v>
      </c>
      <c r="AU131" s="150" t="s">
        <v>89</v>
      </c>
      <c r="AV131" s="150" t="s">
        <v>89</v>
      </c>
      <c r="AW131" s="150" t="s">
        <v>98</v>
      </c>
      <c r="AX131" s="150" t="s">
        <v>18</v>
      </c>
      <c r="AY131" s="150" t="s">
        <v>121</v>
      </c>
    </row>
    <row r="132" spans="2:65" s="137" customFormat="1" ht="27" customHeight="1">
      <c r="B132" s="138"/>
      <c r="C132" s="139">
        <v>10</v>
      </c>
      <c r="D132" s="139" t="s">
        <v>122</v>
      </c>
      <c r="E132" s="140" t="s">
        <v>167</v>
      </c>
      <c r="F132" s="241" t="s">
        <v>280</v>
      </c>
      <c r="G132" s="242"/>
      <c r="H132" s="242"/>
      <c r="I132" s="242"/>
      <c r="J132" s="141" t="s">
        <v>130</v>
      </c>
      <c r="K132" s="142">
        <f>K133</f>
        <v>492.79999999999995</v>
      </c>
      <c r="L132" s="243"/>
      <c r="M132" s="242"/>
      <c r="N132" s="243">
        <f>ROUND($L$132*$K$132,2)</f>
        <v>0</v>
      </c>
      <c r="O132" s="242"/>
      <c r="P132" s="242"/>
      <c r="Q132" s="242"/>
      <c r="R132" s="143"/>
      <c r="T132" s="144"/>
      <c r="U132" s="145" t="s">
        <v>38</v>
      </c>
      <c r="V132" s="146">
        <v>0.177</v>
      </c>
      <c r="W132" s="146">
        <f>$V$132*$K$132</f>
        <v>87.22559999999999</v>
      </c>
      <c r="X132" s="146">
        <v>0</v>
      </c>
      <c r="Y132" s="146">
        <f>$X$132*$K$132</f>
        <v>0</v>
      </c>
      <c r="Z132" s="146">
        <v>0</v>
      </c>
      <c r="AA132" s="147">
        <f>$Z$132*$K$132</f>
        <v>0</v>
      </c>
      <c r="AR132" s="137" t="s">
        <v>123</v>
      </c>
      <c r="AT132" s="137" t="s">
        <v>122</v>
      </c>
      <c r="AU132" s="137" t="s">
        <v>89</v>
      </c>
      <c r="AY132" s="137" t="s">
        <v>121</v>
      </c>
      <c r="BE132" s="148">
        <f>IF($U$132="základní",$N$132,0)</f>
        <v>0</v>
      </c>
      <c r="BF132" s="148">
        <f>IF($U$132="snížená",$N$132,0)</f>
        <v>0</v>
      </c>
      <c r="BG132" s="148">
        <f>IF($U$132="zákl. přenesená",$N$132,0)</f>
        <v>0</v>
      </c>
      <c r="BH132" s="148">
        <f>IF($U$132="sníž. přenesená",$N$132,0)</f>
        <v>0</v>
      </c>
      <c r="BI132" s="148">
        <f>IF($U$132="nulová",$N$132,0)</f>
        <v>0</v>
      </c>
      <c r="BJ132" s="137" t="s">
        <v>18</v>
      </c>
      <c r="BK132" s="148">
        <f>ROUND($L$132*$K$132,2)</f>
        <v>0</v>
      </c>
      <c r="BL132" s="137" t="s">
        <v>123</v>
      </c>
      <c r="BM132" s="137" t="s">
        <v>168</v>
      </c>
    </row>
    <row r="133" spans="2:51" s="137" customFormat="1" ht="32.25" customHeight="1">
      <c r="B133" s="149"/>
      <c r="E133" s="150"/>
      <c r="F133" s="237" t="s">
        <v>281</v>
      </c>
      <c r="G133" s="238"/>
      <c r="H133" s="238"/>
      <c r="I133" s="238"/>
      <c r="K133" s="151">
        <f>176*2.8</f>
        <v>492.79999999999995</v>
      </c>
      <c r="R133" s="152"/>
      <c r="T133" s="153"/>
      <c r="AA133" s="154"/>
      <c r="AT133" s="150" t="s">
        <v>128</v>
      </c>
      <c r="AU133" s="150" t="s">
        <v>89</v>
      </c>
      <c r="AV133" s="150" t="s">
        <v>89</v>
      </c>
      <c r="AW133" s="150" t="s">
        <v>98</v>
      </c>
      <c r="AX133" s="150" t="s">
        <v>18</v>
      </c>
      <c r="AY133" s="150" t="s">
        <v>121</v>
      </c>
    </row>
    <row r="134" spans="2:65" s="168" customFormat="1" ht="15.75" customHeight="1">
      <c r="B134" s="169"/>
      <c r="C134" s="170">
        <v>11</v>
      </c>
      <c r="D134" s="170" t="s">
        <v>137</v>
      </c>
      <c r="E134" s="171" t="s">
        <v>169</v>
      </c>
      <c r="F134" s="249" t="s">
        <v>170</v>
      </c>
      <c r="G134" s="250"/>
      <c r="H134" s="250"/>
      <c r="I134" s="250"/>
      <c r="J134" s="172" t="s">
        <v>127</v>
      </c>
      <c r="K134" s="173">
        <f>K135</f>
        <v>49.28</v>
      </c>
      <c r="L134" s="251"/>
      <c r="M134" s="250"/>
      <c r="N134" s="251">
        <f>ROUND($L$134*$K$134,2)</f>
        <v>0</v>
      </c>
      <c r="O134" s="252"/>
      <c r="P134" s="252"/>
      <c r="Q134" s="252"/>
      <c r="R134" s="175"/>
      <c r="T134" s="174"/>
      <c r="U134" s="176" t="s">
        <v>38</v>
      </c>
      <c r="V134" s="177">
        <v>0</v>
      </c>
      <c r="W134" s="177">
        <f>$V$134*$K$134</f>
        <v>0</v>
      </c>
      <c r="X134" s="177">
        <v>0.21</v>
      </c>
      <c r="Y134" s="177">
        <f>$X$134*$K$134</f>
        <v>10.3488</v>
      </c>
      <c r="Z134" s="177">
        <v>0</v>
      </c>
      <c r="AA134" s="178">
        <f>$Z$134*$K$134</f>
        <v>0</v>
      </c>
      <c r="AR134" s="168" t="s">
        <v>129</v>
      </c>
      <c r="AT134" s="168" t="s">
        <v>137</v>
      </c>
      <c r="AU134" s="168" t="s">
        <v>89</v>
      </c>
      <c r="AY134" s="168" t="s">
        <v>121</v>
      </c>
      <c r="BE134" s="179">
        <f>IF($U$134="základní",$N$134,0)</f>
        <v>0</v>
      </c>
      <c r="BF134" s="179">
        <f>IF($U$134="snížená",$N$134,0)</f>
        <v>0</v>
      </c>
      <c r="BG134" s="179">
        <f>IF($U$134="zákl. přenesená",$N$134,0)</f>
        <v>0</v>
      </c>
      <c r="BH134" s="179">
        <f>IF($U$134="sníž. přenesená",$N$134,0)</f>
        <v>0</v>
      </c>
      <c r="BI134" s="179">
        <f>IF($U$134="nulová",$N$134,0)</f>
        <v>0</v>
      </c>
      <c r="BJ134" s="168" t="s">
        <v>18</v>
      </c>
      <c r="BK134" s="179">
        <f>ROUND($L$134*$K$134,2)</f>
        <v>0</v>
      </c>
      <c r="BL134" s="168" t="s">
        <v>123</v>
      </c>
      <c r="BM134" s="168" t="s">
        <v>171</v>
      </c>
    </row>
    <row r="135" spans="2:51" s="137" customFormat="1" ht="18.75" customHeight="1">
      <c r="B135" s="149"/>
      <c r="E135" s="150"/>
      <c r="F135" s="237" t="s">
        <v>282</v>
      </c>
      <c r="G135" s="238"/>
      <c r="H135" s="238"/>
      <c r="I135" s="238"/>
      <c r="K135" s="151">
        <f>492.8*0.1</f>
        <v>49.28</v>
      </c>
      <c r="R135" s="152"/>
      <c r="T135" s="153"/>
      <c r="AA135" s="154"/>
      <c r="AT135" s="150" t="s">
        <v>128</v>
      </c>
      <c r="AU135" s="150" t="s">
        <v>89</v>
      </c>
      <c r="AV135" s="150" t="s">
        <v>89</v>
      </c>
      <c r="AW135" s="150" t="s">
        <v>98</v>
      </c>
      <c r="AX135" s="150" t="s">
        <v>18</v>
      </c>
      <c r="AY135" s="150" t="s">
        <v>121</v>
      </c>
    </row>
    <row r="136" spans="2:65" s="137" customFormat="1" ht="27" customHeight="1">
      <c r="B136" s="138"/>
      <c r="C136" s="139">
        <v>12</v>
      </c>
      <c r="D136" s="139" t="s">
        <v>122</v>
      </c>
      <c r="E136" s="140" t="s">
        <v>172</v>
      </c>
      <c r="F136" s="241" t="s">
        <v>173</v>
      </c>
      <c r="G136" s="242"/>
      <c r="H136" s="242"/>
      <c r="I136" s="242"/>
      <c r="J136" s="141" t="s">
        <v>130</v>
      </c>
      <c r="K136" s="142">
        <f>K132</f>
        <v>492.79999999999995</v>
      </c>
      <c r="L136" s="243"/>
      <c r="M136" s="242"/>
      <c r="N136" s="243">
        <f>ROUND($L$136*$K$136,2)</f>
        <v>0</v>
      </c>
      <c r="O136" s="242"/>
      <c r="P136" s="242"/>
      <c r="Q136" s="242"/>
      <c r="R136" s="143"/>
      <c r="T136" s="144"/>
      <c r="U136" s="145" t="s">
        <v>38</v>
      </c>
      <c r="V136" s="146">
        <v>0.058</v>
      </c>
      <c r="W136" s="146">
        <f>$V$136*$K$136</f>
        <v>28.5824</v>
      </c>
      <c r="X136" s="146">
        <v>0</v>
      </c>
      <c r="Y136" s="146">
        <f>$X$136*$K$136</f>
        <v>0</v>
      </c>
      <c r="Z136" s="146">
        <v>0</v>
      </c>
      <c r="AA136" s="147">
        <f>$Z$136*$K$136</f>
        <v>0</v>
      </c>
      <c r="AR136" s="137" t="s">
        <v>123</v>
      </c>
      <c r="AT136" s="137" t="s">
        <v>122</v>
      </c>
      <c r="AU136" s="137" t="s">
        <v>89</v>
      </c>
      <c r="AY136" s="137" t="s">
        <v>121</v>
      </c>
      <c r="BE136" s="148">
        <f>IF($U$136="základní",$N$136,0)</f>
        <v>0</v>
      </c>
      <c r="BF136" s="148">
        <f>IF($U$136="snížená",$N$136,0)</f>
        <v>0</v>
      </c>
      <c r="BG136" s="148">
        <f>IF($U$136="zákl. přenesená",$N$136,0)</f>
        <v>0</v>
      </c>
      <c r="BH136" s="148">
        <f>IF($U$136="sníž. přenesená",$N$136,0)</f>
        <v>0</v>
      </c>
      <c r="BI136" s="148">
        <f>IF($U$136="nulová",$N$136,0)</f>
        <v>0</v>
      </c>
      <c r="BJ136" s="137" t="s">
        <v>18</v>
      </c>
      <c r="BK136" s="148">
        <f>ROUND($L$136*$K$136,2)</f>
        <v>0</v>
      </c>
      <c r="BL136" s="137" t="s">
        <v>123</v>
      </c>
      <c r="BM136" s="137" t="s">
        <v>174</v>
      </c>
    </row>
    <row r="137" spans="2:65" s="168" customFormat="1" ht="15.75" customHeight="1">
      <c r="B137" s="169"/>
      <c r="C137" s="170">
        <v>13</v>
      </c>
      <c r="D137" s="170" t="s">
        <v>137</v>
      </c>
      <c r="E137" s="171" t="s">
        <v>175</v>
      </c>
      <c r="F137" s="249" t="s">
        <v>176</v>
      </c>
      <c r="G137" s="250"/>
      <c r="H137" s="250"/>
      <c r="I137" s="250"/>
      <c r="J137" s="172" t="s">
        <v>177</v>
      </c>
      <c r="K137" s="173">
        <f>K138</f>
        <v>7.3919999999999995</v>
      </c>
      <c r="L137" s="251"/>
      <c r="M137" s="250"/>
      <c r="N137" s="251">
        <f>ROUND($L$137*$K$137,2)</f>
        <v>0</v>
      </c>
      <c r="O137" s="252"/>
      <c r="P137" s="252"/>
      <c r="Q137" s="252"/>
      <c r="R137" s="175"/>
      <c r="T137" s="174"/>
      <c r="U137" s="176" t="s">
        <v>38</v>
      </c>
      <c r="V137" s="177">
        <v>0</v>
      </c>
      <c r="W137" s="177">
        <f>$V$137*$K$137</f>
        <v>0</v>
      </c>
      <c r="X137" s="177">
        <v>0.001</v>
      </c>
      <c r="Y137" s="177">
        <f>$X$137*$K$137</f>
        <v>0.007391999999999999</v>
      </c>
      <c r="Z137" s="177">
        <v>0</v>
      </c>
      <c r="AA137" s="178">
        <f>$Z$137*$K$137</f>
        <v>0</v>
      </c>
      <c r="AR137" s="168" t="s">
        <v>129</v>
      </c>
      <c r="AT137" s="168" t="s">
        <v>137</v>
      </c>
      <c r="AU137" s="168" t="s">
        <v>89</v>
      </c>
      <c r="AY137" s="168" t="s">
        <v>121</v>
      </c>
      <c r="BE137" s="179">
        <f>IF($U$137="základní",$N$137,0)</f>
        <v>0</v>
      </c>
      <c r="BF137" s="179">
        <f>IF($U$137="snížená",$N$137,0)</f>
        <v>0</v>
      </c>
      <c r="BG137" s="179">
        <f>IF($U$137="zákl. přenesená",$N$137,0)</f>
        <v>0</v>
      </c>
      <c r="BH137" s="179">
        <f>IF($U$137="sníž. přenesená",$N$137,0)</f>
        <v>0</v>
      </c>
      <c r="BI137" s="179">
        <f>IF($U$137="nulová",$N$137,0)</f>
        <v>0</v>
      </c>
      <c r="BJ137" s="168" t="s">
        <v>18</v>
      </c>
      <c r="BK137" s="179">
        <f>ROUND($L$137*$K$137,2)</f>
        <v>0</v>
      </c>
      <c r="BL137" s="168" t="s">
        <v>123</v>
      </c>
      <c r="BM137" s="168" t="s">
        <v>178</v>
      </c>
    </row>
    <row r="138" spans="2:51" s="137" customFormat="1" ht="18.75" customHeight="1">
      <c r="B138" s="149"/>
      <c r="E138" s="150"/>
      <c r="F138" s="237" t="s">
        <v>283</v>
      </c>
      <c r="G138" s="238"/>
      <c r="H138" s="238"/>
      <c r="I138" s="238"/>
      <c r="K138" s="151">
        <f>492.8*0.015</f>
        <v>7.3919999999999995</v>
      </c>
      <c r="R138" s="152"/>
      <c r="T138" s="153"/>
      <c r="AA138" s="154"/>
      <c r="AT138" s="150" t="s">
        <v>128</v>
      </c>
      <c r="AU138" s="150" t="s">
        <v>89</v>
      </c>
      <c r="AV138" s="150" t="s">
        <v>89</v>
      </c>
      <c r="AW138" s="150" t="s">
        <v>98</v>
      </c>
      <c r="AX138" s="150" t="s">
        <v>18</v>
      </c>
      <c r="AY138" s="150" t="s">
        <v>121</v>
      </c>
    </row>
    <row r="139" spans="2:65" s="137" customFormat="1" ht="15.75" customHeight="1">
      <c r="B139" s="138"/>
      <c r="C139" s="139">
        <v>14</v>
      </c>
      <c r="D139" s="139" t="s">
        <v>122</v>
      </c>
      <c r="E139" s="140" t="s">
        <v>179</v>
      </c>
      <c r="F139" s="241" t="s">
        <v>180</v>
      </c>
      <c r="G139" s="242"/>
      <c r="H139" s="242"/>
      <c r="I139" s="242"/>
      <c r="J139" s="141" t="s">
        <v>130</v>
      </c>
      <c r="K139" s="142">
        <f>K140</f>
        <v>1003.2</v>
      </c>
      <c r="L139" s="243"/>
      <c r="M139" s="242"/>
      <c r="N139" s="243">
        <f>ROUND($L$139*$K$139,2)</f>
        <v>0</v>
      </c>
      <c r="O139" s="242"/>
      <c r="P139" s="242"/>
      <c r="Q139" s="242"/>
      <c r="R139" s="143"/>
      <c r="T139" s="144"/>
      <c r="U139" s="145" t="s">
        <v>38</v>
      </c>
      <c r="V139" s="146">
        <v>0.018</v>
      </c>
      <c r="W139" s="146">
        <f>$V$139*$K$139</f>
        <v>18.0576</v>
      </c>
      <c r="X139" s="146">
        <v>0</v>
      </c>
      <c r="Y139" s="146">
        <f>$X$139*$K$139</f>
        <v>0</v>
      </c>
      <c r="Z139" s="146">
        <v>0</v>
      </c>
      <c r="AA139" s="147">
        <f>$Z$139*$K$139</f>
        <v>0</v>
      </c>
      <c r="AR139" s="137" t="s">
        <v>123</v>
      </c>
      <c r="AT139" s="137" t="s">
        <v>122</v>
      </c>
      <c r="AU139" s="137" t="s">
        <v>89</v>
      </c>
      <c r="AY139" s="137" t="s">
        <v>121</v>
      </c>
      <c r="BE139" s="148">
        <f>IF($U$139="základní",$N$139,0)</f>
        <v>0</v>
      </c>
      <c r="BF139" s="148">
        <f>IF($U$139="snížená",$N$139,0)</f>
        <v>0</v>
      </c>
      <c r="BG139" s="148">
        <f>IF($U$139="zákl. přenesená",$N$139,0)</f>
        <v>0</v>
      </c>
      <c r="BH139" s="148">
        <f>IF($U$139="sníž. přenesená",$N$139,0)</f>
        <v>0</v>
      </c>
      <c r="BI139" s="148">
        <f>IF($U$139="nulová",$N$139,0)</f>
        <v>0</v>
      </c>
      <c r="BJ139" s="137" t="s">
        <v>18</v>
      </c>
      <c r="BK139" s="148">
        <f>ROUND($L$139*$K$139,2)</f>
        <v>0</v>
      </c>
      <c r="BL139" s="137" t="s">
        <v>123</v>
      </c>
      <c r="BM139" s="137" t="s">
        <v>181</v>
      </c>
    </row>
    <row r="140" spans="2:51" s="137" customFormat="1" ht="32.25" customHeight="1">
      <c r="B140" s="149"/>
      <c r="E140" s="150"/>
      <c r="F140" s="237" t="s">
        <v>284</v>
      </c>
      <c r="G140" s="238"/>
      <c r="H140" s="238"/>
      <c r="I140" s="238"/>
      <c r="K140" s="151">
        <f>176*5.7</f>
        <v>1003.2</v>
      </c>
      <c r="R140" s="152"/>
      <c r="T140" s="153"/>
      <c r="AA140" s="154"/>
      <c r="AT140" s="150" t="s">
        <v>128</v>
      </c>
      <c r="AU140" s="150" t="s">
        <v>89</v>
      </c>
      <c r="AV140" s="150" t="s">
        <v>89</v>
      </c>
      <c r="AW140" s="150" t="s">
        <v>98</v>
      </c>
      <c r="AX140" s="150" t="s">
        <v>18</v>
      </c>
      <c r="AY140" s="150" t="s">
        <v>121</v>
      </c>
    </row>
    <row r="141" spans="2:65" s="137" customFormat="1" ht="15.75" customHeight="1">
      <c r="B141" s="138"/>
      <c r="C141" s="139">
        <v>15</v>
      </c>
      <c r="D141" s="139" t="s">
        <v>122</v>
      </c>
      <c r="E141" s="140" t="s">
        <v>182</v>
      </c>
      <c r="F141" s="241" t="s">
        <v>183</v>
      </c>
      <c r="G141" s="242"/>
      <c r="H141" s="242"/>
      <c r="I141" s="242"/>
      <c r="J141" s="141" t="s">
        <v>130</v>
      </c>
      <c r="K141" s="142">
        <f>K132</f>
        <v>492.79999999999995</v>
      </c>
      <c r="L141" s="243"/>
      <c r="M141" s="242"/>
      <c r="N141" s="243">
        <f>ROUND($L$141*$K$141,2)</f>
        <v>0</v>
      </c>
      <c r="O141" s="242"/>
      <c r="P141" s="242"/>
      <c r="Q141" s="242"/>
      <c r="R141" s="143"/>
      <c r="T141" s="144"/>
      <c r="U141" s="145" t="s">
        <v>38</v>
      </c>
      <c r="V141" s="146">
        <v>0.128</v>
      </c>
      <c r="W141" s="146">
        <f>$V$141*$K$141</f>
        <v>63.078399999999995</v>
      </c>
      <c r="X141" s="146">
        <v>0</v>
      </c>
      <c r="Y141" s="146">
        <f>$X$141*$K$141</f>
        <v>0</v>
      </c>
      <c r="Z141" s="146">
        <v>0</v>
      </c>
      <c r="AA141" s="147">
        <f>$Z$141*$K$141</f>
        <v>0</v>
      </c>
      <c r="AR141" s="137" t="s">
        <v>123</v>
      </c>
      <c r="AT141" s="137" t="s">
        <v>122</v>
      </c>
      <c r="AU141" s="137" t="s">
        <v>89</v>
      </c>
      <c r="AY141" s="137" t="s">
        <v>121</v>
      </c>
      <c r="BE141" s="148">
        <f>IF($U$141="základní",$N$141,0)</f>
        <v>0</v>
      </c>
      <c r="BF141" s="148">
        <f>IF($U$141="snížená",$N$141,0)</f>
        <v>0</v>
      </c>
      <c r="BG141" s="148">
        <f>IF($U$141="zákl. přenesená",$N$141,0)</f>
        <v>0</v>
      </c>
      <c r="BH141" s="148">
        <f>IF($U$141="sníž. přenesená",$N$141,0)</f>
        <v>0</v>
      </c>
      <c r="BI141" s="148">
        <f>IF($U$141="nulová",$N$141,0)</f>
        <v>0</v>
      </c>
      <c r="BJ141" s="137" t="s">
        <v>18</v>
      </c>
      <c r="BK141" s="148">
        <f>ROUND($L$141*$K$141,2)</f>
        <v>0</v>
      </c>
      <c r="BL141" s="137" t="s">
        <v>123</v>
      </c>
      <c r="BM141" s="137" t="s">
        <v>184</v>
      </c>
    </row>
    <row r="142" spans="2:51" s="137" customFormat="1" ht="18.75" customHeight="1">
      <c r="B142" s="149"/>
      <c r="E142" s="150"/>
      <c r="F142" s="237" t="s">
        <v>185</v>
      </c>
      <c r="G142" s="238"/>
      <c r="H142" s="238"/>
      <c r="I142" s="238"/>
      <c r="K142" s="151">
        <v>365</v>
      </c>
      <c r="R142" s="152"/>
      <c r="T142" s="153"/>
      <c r="AA142" s="154"/>
      <c r="AT142" s="150" t="s">
        <v>128</v>
      </c>
      <c r="AU142" s="150" t="s">
        <v>89</v>
      </c>
      <c r="AV142" s="150" t="s">
        <v>89</v>
      </c>
      <c r="AW142" s="150" t="s">
        <v>98</v>
      </c>
      <c r="AX142" s="150" t="s">
        <v>18</v>
      </c>
      <c r="AY142" s="150" t="s">
        <v>121</v>
      </c>
    </row>
    <row r="143" spans="2:65" s="137" customFormat="1" ht="27" customHeight="1">
      <c r="B143" s="138"/>
      <c r="C143" s="139">
        <v>16</v>
      </c>
      <c r="D143" s="139" t="s">
        <v>122</v>
      </c>
      <c r="E143" s="140" t="s">
        <v>186</v>
      </c>
      <c r="F143" s="241" t="s">
        <v>187</v>
      </c>
      <c r="G143" s="242"/>
      <c r="H143" s="242"/>
      <c r="I143" s="242"/>
      <c r="J143" s="141" t="s">
        <v>130</v>
      </c>
      <c r="K143" s="142">
        <f>K141</f>
        <v>492.79999999999995</v>
      </c>
      <c r="L143" s="243"/>
      <c r="M143" s="242"/>
      <c r="N143" s="243">
        <f>ROUND($L$143*$K$143,2)</f>
        <v>0</v>
      </c>
      <c r="O143" s="242"/>
      <c r="P143" s="242"/>
      <c r="Q143" s="242"/>
      <c r="R143" s="143"/>
      <c r="T143" s="144"/>
      <c r="U143" s="145" t="s">
        <v>38</v>
      </c>
      <c r="V143" s="146">
        <v>0.011</v>
      </c>
      <c r="W143" s="146">
        <f>$V$143*$K$143</f>
        <v>5.420799999999999</v>
      </c>
      <c r="X143" s="146">
        <v>0</v>
      </c>
      <c r="Y143" s="146">
        <f>$X$143*$K$143</f>
        <v>0</v>
      </c>
      <c r="Z143" s="146">
        <v>0</v>
      </c>
      <c r="AA143" s="147">
        <f>$Z$143*$K$143</f>
        <v>0</v>
      </c>
      <c r="AR143" s="137" t="s">
        <v>123</v>
      </c>
      <c r="AT143" s="137" t="s">
        <v>122</v>
      </c>
      <c r="AU143" s="137" t="s">
        <v>89</v>
      </c>
      <c r="AY143" s="137" t="s">
        <v>121</v>
      </c>
      <c r="BE143" s="148">
        <f>IF($U$143="základní",$N$143,0)</f>
        <v>0</v>
      </c>
      <c r="BF143" s="148">
        <f>IF($U$143="snížená",$N$143,0)</f>
        <v>0</v>
      </c>
      <c r="BG143" s="148">
        <f>IF($U$143="zákl. přenesená",$N$143,0)</f>
        <v>0</v>
      </c>
      <c r="BH143" s="148">
        <f>IF($U$143="sníž. přenesená",$N$143,0)</f>
        <v>0</v>
      </c>
      <c r="BI143" s="148">
        <f>IF($U$143="nulová",$N$143,0)</f>
        <v>0</v>
      </c>
      <c r="BJ143" s="137" t="s">
        <v>18</v>
      </c>
      <c r="BK143" s="148">
        <f>ROUND($L$143*$K$143,2)</f>
        <v>0</v>
      </c>
      <c r="BL143" s="137" t="s">
        <v>123</v>
      </c>
      <c r="BM143" s="137" t="s">
        <v>188</v>
      </c>
    </row>
    <row r="144" spans="2:65" s="137" customFormat="1" ht="15.75" customHeight="1">
      <c r="B144" s="138"/>
      <c r="C144" s="139">
        <v>17</v>
      </c>
      <c r="D144" s="139" t="s">
        <v>122</v>
      </c>
      <c r="E144" s="140" t="s">
        <v>189</v>
      </c>
      <c r="F144" s="241" t="s">
        <v>190</v>
      </c>
      <c r="G144" s="242"/>
      <c r="H144" s="242"/>
      <c r="I144" s="242"/>
      <c r="J144" s="141" t="s">
        <v>127</v>
      </c>
      <c r="K144" s="142">
        <f>K145</f>
        <v>39.424</v>
      </c>
      <c r="L144" s="243"/>
      <c r="M144" s="242"/>
      <c r="N144" s="243">
        <f>ROUND($L$144*$K$144,2)</f>
        <v>0</v>
      </c>
      <c r="O144" s="242"/>
      <c r="P144" s="242"/>
      <c r="Q144" s="242"/>
      <c r="R144" s="143"/>
      <c r="T144" s="144"/>
      <c r="U144" s="145" t="s">
        <v>38</v>
      </c>
      <c r="V144" s="146">
        <v>0.26</v>
      </c>
      <c r="W144" s="146">
        <f>$V$144*$K$144</f>
        <v>10.25024</v>
      </c>
      <c r="X144" s="146">
        <v>0</v>
      </c>
      <c r="Y144" s="146">
        <f>$X$144*$K$144</f>
        <v>0</v>
      </c>
      <c r="Z144" s="146">
        <v>0</v>
      </c>
      <c r="AA144" s="147">
        <f>$Z$144*$K$144</f>
        <v>0</v>
      </c>
      <c r="AR144" s="137" t="s">
        <v>123</v>
      </c>
      <c r="AT144" s="137" t="s">
        <v>122</v>
      </c>
      <c r="AU144" s="137" t="s">
        <v>89</v>
      </c>
      <c r="AY144" s="137" t="s">
        <v>121</v>
      </c>
      <c r="BE144" s="148">
        <f>IF($U$144="základní",$N$144,0)</f>
        <v>0</v>
      </c>
      <c r="BF144" s="148">
        <f>IF($U$144="snížená",$N$144,0)</f>
        <v>0</v>
      </c>
      <c r="BG144" s="148">
        <f>IF($U$144="zákl. přenesená",$N$144,0)</f>
        <v>0</v>
      </c>
      <c r="BH144" s="148">
        <f>IF($U$144="sníž. přenesená",$N$144,0)</f>
        <v>0</v>
      </c>
      <c r="BI144" s="148">
        <f>IF($U$144="nulová",$N$144,0)</f>
        <v>0</v>
      </c>
      <c r="BJ144" s="137" t="s">
        <v>18</v>
      </c>
      <c r="BK144" s="148">
        <f>ROUND($L$144*$K$144,2)</f>
        <v>0</v>
      </c>
      <c r="BL144" s="137" t="s">
        <v>123</v>
      </c>
      <c r="BM144" s="137" t="s">
        <v>191</v>
      </c>
    </row>
    <row r="145" spans="2:51" s="137" customFormat="1" ht="18.75" customHeight="1">
      <c r="B145" s="149"/>
      <c r="E145" s="150"/>
      <c r="F145" s="237" t="s">
        <v>285</v>
      </c>
      <c r="G145" s="238"/>
      <c r="H145" s="238"/>
      <c r="I145" s="238"/>
      <c r="K145" s="151">
        <f>492.8*0.08</f>
        <v>39.424</v>
      </c>
      <c r="R145" s="152"/>
      <c r="T145" s="153"/>
      <c r="AA145" s="154"/>
      <c r="AT145" s="150" t="s">
        <v>128</v>
      </c>
      <c r="AU145" s="150" t="s">
        <v>89</v>
      </c>
      <c r="AV145" s="150" t="s">
        <v>89</v>
      </c>
      <c r="AW145" s="150" t="s">
        <v>98</v>
      </c>
      <c r="AX145" s="150" t="s">
        <v>18</v>
      </c>
      <c r="AY145" s="150" t="s">
        <v>121</v>
      </c>
    </row>
    <row r="146" spans="2:63" s="157" customFormat="1" ht="30.75" customHeight="1">
      <c r="B146" s="158"/>
      <c r="D146" s="159" t="s">
        <v>102</v>
      </c>
      <c r="E146" s="159"/>
      <c r="F146" s="159"/>
      <c r="G146" s="159"/>
      <c r="H146" s="159"/>
      <c r="I146" s="159"/>
      <c r="J146" s="159"/>
      <c r="K146" s="159"/>
      <c r="L146" s="159"/>
      <c r="M146" s="159"/>
      <c r="N146" s="239">
        <f>SUM(N149:Q156)</f>
        <v>0</v>
      </c>
      <c r="O146" s="240"/>
      <c r="P146" s="240"/>
      <c r="Q146" s="240"/>
      <c r="R146" s="161"/>
      <c r="T146" s="162"/>
      <c r="W146" s="163">
        <f>SUM($W$147:$W$156)</f>
        <v>187.7407</v>
      </c>
      <c r="Y146" s="163">
        <f>SUM($Y$147:$Y$156)</f>
        <v>0</v>
      </c>
      <c r="AA146" s="164">
        <f>SUM($AA$147:$AA$156)</f>
        <v>0</v>
      </c>
      <c r="AR146" s="160" t="s">
        <v>18</v>
      </c>
      <c r="AT146" s="160" t="s">
        <v>72</v>
      </c>
      <c r="AU146" s="160" t="s">
        <v>18</v>
      </c>
      <c r="AY146" s="160" t="s">
        <v>121</v>
      </c>
      <c r="BK146" s="165">
        <f>SUM($BK$147:$BK$156)</f>
        <v>0</v>
      </c>
    </row>
    <row r="147" spans="2:65" s="185" customFormat="1" ht="15.75" customHeight="1">
      <c r="B147" s="186"/>
      <c r="C147" s="187">
        <v>21</v>
      </c>
      <c r="D147" s="187" t="s">
        <v>122</v>
      </c>
      <c r="E147" s="188" t="s">
        <v>198</v>
      </c>
      <c r="F147" s="279" t="s">
        <v>289</v>
      </c>
      <c r="G147" s="280"/>
      <c r="H147" s="280"/>
      <c r="I147" s="280"/>
      <c r="J147" s="189" t="s">
        <v>130</v>
      </c>
      <c r="K147" s="190">
        <f>K139</f>
        <v>1003.2</v>
      </c>
      <c r="L147" s="281"/>
      <c r="M147" s="280"/>
      <c r="N147" s="281">
        <f>ROUND($L$147*$K$147,2)</f>
        <v>0</v>
      </c>
      <c r="O147" s="280"/>
      <c r="P147" s="280"/>
      <c r="Q147" s="280"/>
      <c r="R147" s="191"/>
      <c r="T147" s="192"/>
      <c r="U147" s="193" t="s">
        <v>38</v>
      </c>
      <c r="V147" s="194">
        <v>0.045</v>
      </c>
      <c r="W147" s="194">
        <f>$V$147*$K$147</f>
        <v>45.144</v>
      </c>
      <c r="X147" s="194">
        <v>0</v>
      </c>
      <c r="Y147" s="194">
        <f>$X$147*$K$147</f>
        <v>0</v>
      </c>
      <c r="Z147" s="194">
        <v>0</v>
      </c>
      <c r="AA147" s="195">
        <f>$Z$147*$K$147</f>
        <v>0</v>
      </c>
      <c r="AR147" s="185" t="s">
        <v>123</v>
      </c>
      <c r="AT147" s="185" t="s">
        <v>122</v>
      </c>
      <c r="AU147" s="185" t="s">
        <v>89</v>
      </c>
      <c r="AY147" s="185" t="s">
        <v>121</v>
      </c>
      <c r="BE147" s="196">
        <f>IF($U$147="základní",$N$147,0)</f>
        <v>0</v>
      </c>
      <c r="BF147" s="196">
        <f>IF($U$147="snížená",$N$147,0)</f>
        <v>0</v>
      </c>
      <c r="BG147" s="196">
        <f>IF($U$147="zákl. přenesená",$N$147,0)</f>
        <v>0</v>
      </c>
      <c r="BH147" s="196">
        <f>IF($U$147="sníž. přenesená",$N$147,0)</f>
        <v>0</v>
      </c>
      <c r="BI147" s="196">
        <f>IF($U$147="nulová",$N$147,0)</f>
        <v>0</v>
      </c>
      <c r="BJ147" s="185" t="s">
        <v>18</v>
      </c>
      <c r="BK147" s="196">
        <f>ROUND($L$147*$K$147,2)</f>
        <v>0</v>
      </c>
      <c r="BL147" s="185" t="s">
        <v>123</v>
      </c>
      <c r="BM147" s="185" t="s">
        <v>199</v>
      </c>
    </row>
    <row r="148" spans="2:47" s="137" customFormat="1" ht="98.25" customHeight="1">
      <c r="B148" s="138"/>
      <c r="F148" s="253" t="s">
        <v>288</v>
      </c>
      <c r="G148" s="254"/>
      <c r="H148" s="254"/>
      <c r="I148" s="254"/>
      <c r="L148" s="197" t="s">
        <v>307</v>
      </c>
      <c r="R148" s="143"/>
      <c r="T148" s="155"/>
      <c r="AA148" s="156"/>
      <c r="AT148" s="137" t="s">
        <v>133</v>
      </c>
      <c r="AU148" s="137" t="s">
        <v>89</v>
      </c>
    </row>
    <row r="149" spans="2:65" s="137" customFormat="1" ht="27" customHeight="1">
      <c r="B149" s="138"/>
      <c r="C149" s="139">
        <v>22</v>
      </c>
      <c r="D149" s="139" t="s">
        <v>122</v>
      </c>
      <c r="E149" s="140" t="s">
        <v>200</v>
      </c>
      <c r="F149" s="248" t="s">
        <v>290</v>
      </c>
      <c r="G149" s="242"/>
      <c r="H149" s="242"/>
      <c r="I149" s="242"/>
      <c r="J149" s="141" t="s">
        <v>130</v>
      </c>
      <c r="K149" s="142">
        <f>K147</f>
        <v>1003.2</v>
      </c>
      <c r="L149" s="243"/>
      <c r="M149" s="242"/>
      <c r="N149" s="243">
        <f>ROUND($L$149*$K$149,2)</f>
        <v>0</v>
      </c>
      <c r="O149" s="242"/>
      <c r="P149" s="242"/>
      <c r="Q149" s="242"/>
      <c r="R149" s="143"/>
      <c r="T149" s="144"/>
      <c r="U149" s="145" t="s">
        <v>38</v>
      </c>
      <c r="V149" s="146">
        <v>0.019</v>
      </c>
      <c r="W149" s="146">
        <f>$V$149*$K$149</f>
        <v>19.0608</v>
      </c>
      <c r="X149" s="146">
        <v>0</v>
      </c>
      <c r="Y149" s="146">
        <f>$X$149*$K$149</f>
        <v>0</v>
      </c>
      <c r="Z149" s="146">
        <v>0</v>
      </c>
      <c r="AA149" s="147">
        <f>$Z$149*$K$149</f>
        <v>0</v>
      </c>
      <c r="AR149" s="137" t="s">
        <v>123</v>
      </c>
      <c r="AT149" s="137" t="s">
        <v>122</v>
      </c>
      <c r="AU149" s="137" t="s">
        <v>89</v>
      </c>
      <c r="AY149" s="137" t="s">
        <v>121</v>
      </c>
      <c r="BE149" s="148">
        <f>IF($U$149="základní",$N$149,0)</f>
        <v>0</v>
      </c>
      <c r="BF149" s="148">
        <f>IF($U$149="snížená",$N$149,0)</f>
        <v>0</v>
      </c>
      <c r="BG149" s="148">
        <f>IF($U$149="zákl. přenesená",$N$149,0)</f>
        <v>0</v>
      </c>
      <c r="BH149" s="148">
        <f>IF($U$149="sníž. přenesená",$N$149,0)</f>
        <v>0</v>
      </c>
      <c r="BI149" s="148">
        <f>IF($U$149="nulová",$N$149,0)</f>
        <v>0</v>
      </c>
      <c r="BJ149" s="137" t="s">
        <v>18</v>
      </c>
      <c r="BK149" s="148">
        <f>ROUND($L$149*$K$149,2)</f>
        <v>0</v>
      </c>
      <c r="BL149" s="137" t="s">
        <v>123</v>
      </c>
      <c r="BM149" s="137" t="s">
        <v>201</v>
      </c>
    </row>
    <row r="150" spans="2:51" s="137" customFormat="1" ht="32.25" customHeight="1">
      <c r="B150" s="149"/>
      <c r="E150" s="150"/>
      <c r="F150" s="237"/>
      <c r="G150" s="238"/>
      <c r="H150" s="238"/>
      <c r="I150" s="238"/>
      <c r="K150" s="151">
        <v>1501.676</v>
      </c>
      <c r="R150" s="152"/>
      <c r="T150" s="153"/>
      <c r="AA150" s="154"/>
      <c r="AT150" s="150" t="s">
        <v>128</v>
      </c>
      <c r="AU150" s="150" t="s">
        <v>89</v>
      </c>
      <c r="AV150" s="150" t="s">
        <v>89</v>
      </c>
      <c r="AW150" s="150" t="s">
        <v>98</v>
      </c>
      <c r="AX150" s="150" t="s">
        <v>18</v>
      </c>
      <c r="AY150" s="150" t="s">
        <v>121</v>
      </c>
    </row>
    <row r="151" spans="2:65" s="137" customFormat="1" ht="27" customHeight="1">
      <c r="B151" s="138"/>
      <c r="C151" s="139">
        <v>24</v>
      </c>
      <c r="D151" s="139" t="s">
        <v>122</v>
      </c>
      <c r="E151" s="140" t="s">
        <v>204</v>
      </c>
      <c r="F151" s="241" t="s">
        <v>205</v>
      </c>
      <c r="G151" s="242"/>
      <c r="H151" s="242"/>
      <c r="I151" s="242"/>
      <c r="J151" s="141" t="s">
        <v>130</v>
      </c>
      <c r="K151" s="142">
        <f>K152</f>
        <v>829.1</v>
      </c>
      <c r="L151" s="243"/>
      <c r="M151" s="242"/>
      <c r="N151" s="243">
        <f>ROUND($L$151*$K$151,2)</f>
        <v>0</v>
      </c>
      <c r="O151" s="242"/>
      <c r="P151" s="242"/>
      <c r="Q151" s="242"/>
      <c r="R151" s="143"/>
      <c r="T151" s="144"/>
      <c r="U151" s="145" t="s">
        <v>38</v>
      </c>
      <c r="V151" s="146">
        <v>0.056</v>
      </c>
      <c r="W151" s="146">
        <f>$V$151*$K$151</f>
        <v>46.4296</v>
      </c>
      <c r="X151" s="146">
        <v>0</v>
      </c>
      <c r="Y151" s="146">
        <f>$X$151*$K$151</f>
        <v>0</v>
      </c>
      <c r="Z151" s="146">
        <v>0</v>
      </c>
      <c r="AA151" s="147">
        <f>$Z$151*$K$151</f>
        <v>0</v>
      </c>
      <c r="AR151" s="137" t="s">
        <v>123</v>
      </c>
      <c r="AT151" s="137" t="s">
        <v>122</v>
      </c>
      <c r="AU151" s="137" t="s">
        <v>89</v>
      </c>
      <c r="AY151" s="137" t="s">
        <v>121</v>
      </c>
      <c r="BE151" s="148">
        <f>IF($U$151="základní",$N$151,0)</f>
        <v>0</v>
      </c>
      <c r="BF151" s="148">
        <f>IF($U$151="snížená",$N$151,0)</f>
        <v>0</v>
      </c>
      <c r="BG151" s="148">
        <f>IF($U$151="zákl. přenesená",$N$151,0)</f>
        <v>0</v>
      </c>
      <c r="BH151" s="148">
        <f>IF($U$151="sníž. přenesená",$N$151,0)</f>
        <v>0</v>
      </c>
      <c r="BI151" s="148">
        <f>IF($U$151="nulová",$N$151,0)</f>
        <v>0</v>
      </c>
      <c r="BJ151" s="137" t="s">
        <v>18</v>
      </c>
      <c r="BK151" s="148">
        <f>ROUND($L$151*$K$151,2)</f>
        <v>0</v>
      </c>
      <c r="BL151" s="137" t="s">
        <v>123</v>
      </c>
      <c r="BM151" s="137" t="s">
        <v>206</v>
      </c>
    </row>
    <row r="152" spans="2:51" s="137" customFormat="1" ht="18.75" customHeight="1">
      <c r="B152" s="198"/>
      <c r="E152" s="199"/>
      <c r="F152" s="277" t="s">
        <v>292</v>
      </c>
      <c r="G152" s="278"/>
      <c r="H152" s="278"/>
      <c r="I152" s="278"/>
      <c r="K152" s="200">
        <f>(160*4.6)+(16*5.1)+(23*0.5)</f>
        <v>829.1</v>
      </c>
      <c r="R152" s="201"/>
      <c r="T152" s="202"/>
      <c r="AA152" s="203"/>
      <c r="AT152" s="199" t="s">
        <v>128</v>
      </c>
      <c r="AU152" s="199" t="s">
        <v>89</v>
      </c>
      <c r="AV152" s="199" t="s">
        <v>123</v>
      </c>
      <c r="AW152" s="199" t="s">
        <v>98</v>
      </c>
      <c r="AX152" s="199" t="s">
        <v>18</v>
      </c>
      <c r="AY152" s="199" t="s">
        <v>121</v>
      </c>
    </row>
    <row r="153" spans="2:65" s="137" customFormat="1" ht="27" customHeight="1">
      <c r="B153" s="138"/>
      <c r="C153" s="139">
        <v>25</v>
      </c>
      <c r="D153" s="139" t="s">
        <v>122</v>
      </c>
      <c r="E153" s="140" t="s">
        <v>207</v>
      </c>
      <c r="F153" s="241" t="s">
        <v>208</v>
      </c>
      <c r="G153" s="242"/>
      <c r="H153" s="242"/>
      <c r="I153" s="242"/>
      <c r="J153" s="141" t="s">
        <v>130</v>
      </c>
      <c r="K153" s="142">
        <f>K151</f>
        <v>829.1</v>
      </c>
      <c r="L153" s="243"/>
      <c r="M153" s="242"/>
      <c r="N153" s="243">
        <f>ROUND($L$153*$K$153,2)</f>
        <v>0</v>
      </c>
      <c r="O153" s="242"/>
      <c r="P153" s="242"/>
      <c r="Q153" s="242"/>
      <c r="R153" s="143"/>
      <c r="T153" s="144"/>
      <c r="U153" s="145" t="s">
        <v>38</v>
      </c>
      <c r="V153" s="146">
        <v>0.027</v>
      </c>
      <c r="W153" s="146">
        <f>$V$153*$K$153</f>
        <v>22.3857</v>
      </c>
      <c r="X153" s="146">
        <v>0</v>
      </c>
      <c r="Y153" s="146">
        <f>$X$153*$K$153</f>
        <v>0</v>
      </c>
      <c r="Z153" s="146">
        <v>0</v>
      </c>
      <c r="AA153" s="147">
        <f>$Z$153*$K$153</f>
        <v>0</v>
      </c>
      <c r="AR153" s="137" t="s">
        <v>123</v>
      </c>
      <c r="AT153" s="137" t="s">
        <v>122</v>
      </c>
      <c r="AU153" s="137" t="s">
        <v>89</v>
      </c>
      <c r="AY153" s="137" t="s">
        <v>121</v>
      </c>
      <c r="BE153" s="148">
        <f>IF($U$153="základní",$N$153,0)</f>
        <v>0</v>
      </c>
      <c r="BF153" s="148">
        <f>IF($U$153="snížená",$N$153,0)</f>
        <v>0</v>
      </c>
      <c r="BG153" s="148">
        <f>IF($U$153="zákl. přenesená",$N$153,0)</f>
        <v>0</v>
      </c>
      <c r="BH153" s="148">
        <f>IF($U$153="sníž. přenesená",$N$153,0)</f>
        <v>0</v>
      </c>
      <c r="BI153" s="148">
        <f>IF($U$153="nulová",$N$153,0)</f>
        <v>0</v>
      </c>
      <c r="BJ153" s="137" t="s">
        <v>18</v>
      </c>
      <c r="BK153" s="148">
        <f>ROUND($L$153*$K$153,2)</f>
        <v>0</v>
      </c>
      <c r="BL153" s="137" t="s">
        <v>123</v>
      </c>
      <c r="BM153" s="137" t="s">
        <v>209</v>
      </c>
    </row>
    <row r="154" spans="2:51" s="137" customFormat="1" ht="18.75" customHeight="1">
      <c r="B154" s="149"/>
      <c r="E154" s="150"/>
      <c r="F154" s="237" t="s">
        <v>210</v>
      </c>
      <c r="G154" s="238"/>
      <c r="H154" s="238"/>
      <c r="I154" s="238"/>
      <c r="K154" s="151">
        <v>1370.168</v>
      </c>
      <c r="R154" s="152"/>
      <c r="T154" s="153"/>
      <c r="AA154" s="154"/>
      <c r="AT154" s="150" t="s">
        <v>128</v>
      </c>
      <c r="AU154" s="150" t="s">
        <v>89</v>
      </c>
      <c r="AV154" s="150" t="s">
        <v>89</v>
      </c>
      <c r="AW154" s="150" t="s">
        <v>98</v>
      </c>
      <c r="AX154" s="150" t="s">
        <v>18</v>
      </c>
      <c r="AY154" s="150" t="s">
        <v>121</v>
      </c>
    </row>
    <row r="155" spans="2:65" s="137" customFormat="1" ht="27" customHeight="1">
      <c r="B155" s="138"/>
      <c r="C155" s="139">
        <v>26</v>
      </c>
      <c r="D155" s="139" t="s">
        <v>122</v>
      </c>
      <c r="E155" s="140" t="s">
        <v>211</v>
      </c>
      <c r="F155" s="241" t="s">
        <v>212</v>
      </c>
      <c r="G155" s="242"/>
      <c r="H155" s="242"/>
      <c r="I155" s="242"/>
      <c r="J155" s="141" t="s">
        <v>130</v>
      </c>
      <c r="K155" s="142">
        <f>K151</f>
        <v>829.1</v>
      </c>
      <c r="L155" s="243"/>
      <c r="M155" s="242"/>
      <c r="N155" s="243">
        <f>ROUND($L$155*$K$155,2)</f>
        <v>0</v>
      </c>
      <c r="O155" s="242"/>
      <c r="P155" s="242"/>
      <c r="Q155" s="242"/>
      <c r="R155" s="143"/>
      <c r="T155" s="144"/>
      <c r="U155" s="145" t="s">
        <v>38</v>
      </c>
      <c r="V155" s="146">
        <v>0.066</v>
      </c>
      <c r="W155" s="146">
        <f>$V$155*$K$155</f>
        <v>54.720600000000005</v>
      </c>
      <c r="X155" s="146">
        <v>0</v>
      </c>
      <c r="Y155" s="146">
        <f>$X$155*$K$155</f>
        <v>0</v>
      </c>
      <c r="Z155" s="146">
        <v>0</v>
      </c>
      <c r="AA155" s="147">
        <f>$Z$155*$K$155</f>
        <v>0</v>
      </c>
      <c r="AR155" s="137" t="s">
        <v>123</v>
      </c>
      <c r="AT155" s="137" t="s">
        <v>122</v>
      </c>
      <c r="AU155" s="137" t="s">
        <v>89</v>
      </c>
      <c r="AY155" s="137" t="s">
        <v>121</v>
      </c>
      <c r="BE155" s="148">
        <f>IF($U$155="základní",$N$155,0)</f>
        <v>0</v>
      </c>
      <c r="BF155" s="148">
        <f>IF($U$155="snížená",$N$155,0)</f>
        <v>0</v>
      </c>
      <c r="BG155" s="148">
        <f>IF($U$155="zákl. přenesená",$N$155,0)</f>
        <v>0</v>
      </c>
      <c r="BH155" s="148">
        <f>IF($U$155="sníž. přenesená",$N$155,0)</f>
        <v>0</v>
      </c>
      <c r="BI155" s="148">
        <f>IF($U$155="nulová",$N$155,0)</f>
        <v>0</v>
      </c>
      <c r="BJ155" s="137" t="s">
        <v>18</v>
      </c>
      <c r="BK155" s="148">
        <f>ROUND($L$155*$K$155,2)</f>
        <v>0</v>
      </c>
      <c r="BL155" s="137" t="s">
        <v>123</v>
      </c>
      <c r="BM155" s="137" t="s">
        <v>213</v>
      </c>
    </row>
    <row r="156" spans="2:47" s="137" customFormat="1" ht="18.75" customHeight="1">
      <c r="B156" s="138"/>
      <c r="F156" s="253"/>
      <c r="G156" s="254"/>
      <c r="H156" s="254"/>
      <c r="I156" s="254"/>
      <c r="R156" s="143"/>
      <c r="T156" s="155"/>
      <c r="AA156" s="156"/>
      <c r="AT156" s="137" t="s">
        <v>133</v>
      </c>
      <c r="AU156" s="137" t="s">
        <v>89</v>
      </c>
    </row>
    <row r="157" spans="2:63" s="157" customFormat="1" ht="30.75" customHeight="1">
      <c r="B157" s="158"/>
      <c r="D157" s="159" t="s">
        <v>103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239">
        <f>SUM(N158:Q172)</f>
        <v>0</v>
      </c>
      <c r="O157" s="240"/>
      <c r="P157" s="240"/>
      <c r="Q157" s="240"/>
      <c r="R157" s="161"/>
      <c r="T157" s="162"/>
      <c r="W157" s="163" t="e">
        <f>#REF!+SUM($W$159:$W$173)</f>
        <v>#REF!</v>
      </c>
      <c r="Y157" s="163" t="e">
        <f>#REF!+SUM($Y$159:$Y$173)</f>
        <v>#REF!</v>
      </c>
      <c r="AA157" s="164" t="e">
        <f>#REF!+SUM($AA$159:$AA$173)</f>
        <v>#REF!</v>
      </c>
      <c r="AR157" s="160" t="s">
        <v>18</v>
      </c>
      <c r="AT157" s="160" t="s">
        <v>72</v>
      </c>
      <c r="AU157" s="160" t="s">
        <v>18</v>
      </c>
      <c r="AY157" s="160" t="s">
        <v>121</v>
      </c>
      <c r="BK157" s="165" t="e">
        <f>#REF!+SUM($BK$159:$BK$173)</f>
        <v>#REF!</v>
      </c>
    </row>
    <row r="158" spans="2:51" s="137" customFormat="1" ht="18.75" customHeight="1">
      <c r="B158" s="149"/>
      <c r="E158" s="150"/>
      <c r="F158" s="237"/>
      <c r="G158" s="238"/>
      <c r="H158" s="238"/>
      <c r="I158" s="238"/>
      <c r="K158" s="151"/>
      <c r="R158" s="152"/>
      <c r="T158" s="153"/>
      <c r="AA158" s="154"/>
      <c r="AT158" s="150" t="s">
        <v>128</v>
      </c>
      <c r="AU158" s="150" t="s">
        <v>89</v>
      </c>
      <c r="AV158" s="150" t="s">
        <v>89</v>
      </c>
      <c r="AW158" s="150" t="s">
        <v>98</v>
      </c>
      <c r="AX158" s="150" t="s">
        <v>18</v>
      </c>
      <c r="AY158" s="150" t="s">
        <v>121</v>
      </c>
    </row>
    <row r="159" spans="2:65" s="137" customFormat="1" ht="39" customHeight="1">
      <c r="B159" s="138"/>
      <c r="C159" s="139">
        <v>30</v>
      </c>
      <c r="D159" s="139" t="s">
        <v>122</v>
      </c>
      <c r="E159" s="140" t="s">
        <v>219</v>
      </c>
      <c r="F159" s="248" t="s">
        <v>296</v>
      </c>
      <c r="G159" s="242"/>
      <c r="H159" s="242"/>
      <c r="I159" s="242"/>
      <c r="J159" s="141" t="s">
        <v>125</v>
      </c>
      <c r="K159" s="142">
        <v>176</v>
      </c>
      <c r="L159" s="243"/>
      <c r="M159" s="242"/>
      <c r="N159" s="243">
        <f>ROUND($L$159*$K$159,2)</f>
        <v>0</v>
      </c>
      <c r="O159" s="242"/>
      <c r="P159" s="242"/>
      <c r="Q159" s="242"/>
      <c r="R159" s="143"/>
      <c r="T159" s="144"/>
      <c r="U159" s="145" t="s">
        <v>38</v>
      </c>
      <c r="V159" s="146">
        <v>0.216</v>
      </c>
      <c r="W159" s="146">
        <f>$V$159*$K$159</f>
        <v>38.016</v>
      </c>
      <c r="X159" s="146">
        <v>0.1295</v>
      </c>
      <c r="Y159" s="146">
        <f>$X$159*$K$159</f>
        <v>22.792</v>
      </c>
      <c r="Z159" s="146">
        <v>0</v>
      </c>
      <c r="AA159" s="147">
        <f>$Z$159*$K$159</f>
        <v>0</v>
      </c>
      <c r="AR159" s="137" t="s">
        <v>123</v>
      </c>
      <c r="AT159" s="137" t="s">
        <v>122</v>
      </c>
      <c r="AU159" s="137" t="s">
        <v>89</v>
      </c>
      <c r="AY159" s="137" t="s">
        <v>121</v>
      </c>
      <c r="BE159" s="148">
        <f>IF($U$159="základní",$N$159,0)</f>
        <v>0</v>
      </c>
      <c r="BF159" s="148">
        <f>IF($U$159="snížená",$N$159,0)</f>
        <v>0</v>
      </c>
      <c r="BG159" s="148">
        <f>IF($U$159="zákl. přenesená",$N$159,0)</f>
        <v>0</v>
      </c>
      <c r="BH159" s="148">
        <f>IF($U$159="sníž. přenesená",$N$159,0)</f>
        <v>0</v>
      </c>
      <c r="BI159" s="148">
        <f>IF($U$159="nulová",$N$159,0)</f>
        <v>0</v>
      </c>
      <c r="BJ159" s="137" t="s">
        <v>18</v>
      </c>
      <c r="BK159" s="148">
        <f>ROUND($L$159*$K$159,2)</f>
        <v>0</v>
      </c>
      <c r="BL159" s="137" t="s">
        <v>123</v>
      </c>
      <c r="BM159" s="137" t="s">
        <v>220</v>
      </c>
    </row>
    <row r="160" spans="2:51" s="137" customFormat="1" ht="18.75" customHeight="1">
      <c r="B160" s="149"/>
      <c r="E160" s="150"/>
      <c r="F160" s="237"/>
      <c r="G160" s="238"/>
      <c r="H160" s="238"/>
      <c r="I160" s="238"/>
      <c r="K160" s="151"/>
      <c r="R160" s="152"/>
      <c r="T160" s="153"/>
      <c r="AA160" s="154"/>
      <c r="AT160" s="150" t="s">
        <v>128</v>
      </c>
      <c r="AU160" s="150" t="s">
        <v>89</v>
      </c>
      <c r="AV160" s="150" t="s">
        <v>89</v>
      </c>
      <c r="AW160" s="150" t="s">
        <v>98</v>
      </c>
      <c r="AX160" s="150" t="s">
        <v>18</v>
      </c>
      <c r="AY160" s="150" t="s">
        <v>121</v>
      </c>
    </row>
    <row r="161" spans="2:65" s="168" customFormat="1" ht="27" customHeight="1">
      <c r="B161" s="169"/>
      <c r="C161" s="170">
        <v>31</v>
      </c>
      <c r="D161" s="170" t="s">
        <v>137</v>
      </c>
      <c r="E161" s="171" t="s">
        <v>221</v>
      </c>
      <c r="F161" s="249" t="s">
        <v>297</v>
      </c>
      <c r="G161" s="250"/>
      <c r="H161" s="250"/>
      <c r="I161" s="250"/>
      <c r="J161" s="172" t="s">
        <v>139</v>
      </c>
      <c r="K161" s="173">
        <f>K159*1.05</f>
        <v>184.8</v>
      </c>
      <c r="L161" s="251"/>
      <c r="M161" s="250"/>
      <c r="N161" s="251">
        <f>ROUND($L$161*$K$161,2)</f>
        <v>0</v>
      </c>
      <c r="O161" s="252"/>
      <c r="P161" s="252"/>
      <c r="Q161" s="252"/>
      <c r="R161" s="175"/>
      <c r="T161" s="174"/>
      <c r="U161" s="176" t="s">
        <v>38</v>
      </c>
      <c r="V161" s="177">
        <v>0</v>
      </c>
      <c r="W161" s="177">
        <f>$V$161*$K$161</f>
        <v>0</v>
      </c>
      <c r="X161" s="177">
        <v>0.085</v>
      </c>
      <c r="Y161" s="177">
        <f>$X$161*$K$161</f>
        <v>15.708000000000002</v>
      </c>
      <c r="Z161" s="177">
        <v>0</v>
      </c>
      <c r="AA161" s="178">
        <f>$Z$161*$K$161</f>
        <v>0</v>
      </c>
      <c r="AR161" s="168" t="s">
        <v>129</v>
      </c>
      <c r="AT161" s="168" t="s">
        <v>137</v>
      </c>
      <c r="AU161" s="168" t="s">
        <v>89</v>
      </c>
      <c r="AY161" s="168" t="s">
        <v>121</v>
      </c>
      <c r="BE161" s="179">
        <f>IF($U$161="základní",$N$161,0)</f>
        <v>0</v>
      </c>
      <c r="BF161" s="179">
        <f>IF($U$161="snížená",$N$161,0)</f>
        <v>0</v>
      </c>
      <c r="BG161" s="179">
        <f>IF($U$161="zákl. přenesená",$N$161,0)</f>
        <v>0</v>
      </c>
      <c r="BH161" s="179">
        <f>IF($U$161="sníž. přenesená",$N$161,0)</f>
        <v>0</v>
      </c>
      <c r="BI161" s="179">
        <f>IF($U$161="nulová",$N$161,0)</f>
        <v>0</v>
      </c>
      <c r="BJ161" s="168" t="s">
        <v>18</v>
      </c>
      <c r="BK161" s="179">
        <f>ROUND($L$161*$K$161,2)</f>
        <v>0</v>
      </c>
      <c r="BL161" s="168" t="s">
        <v>123</v>
      </c>
      <c r="BM161" s="168" t="s">
        <v>222</v>
      </c>
    </row>
    <row r="162" spans="2:65" s="137" customFormat="1" ht="27" customHeight="1">
      <c r="B162" s="138"/>
      <c r="C162" s="139">
        <v>32</v>
      </c>
      <c r="D162" s="139" t="s">
        <v>122</v>
      </c>
      <c r="E162" s="140" t="s">
        <v>223</v>
      </c>
      <c r="F162" s="248" t="s">
        <v>298</v>
      </c>
      <c r="G162" s="242"/>
      <c r="H162" s="242"/>
      <c r="I162" s="242"/>
      <c r="J162" s="141" t="s">
        <v>125</v>
      </c>
      <c r="K162" s="142">
        <f>K163</f>
        <v>156</v>
      </c>
      <c r="L162" s="243"/>
      <c r="M162" s="242"/>
      <c r="N162" s="243">
        <f>ROUND($L$162*$K$162,2)</f>
        <v>0</v>
      </c>
      <c r="O162" s="242"/>
      <c r="P162" s="242"/>
      <c r="Q162" s="242"/>
      <c r="R162" s="143"/>
      <c r="T162" s="144"/>
      <c r="U162" s="145" t="s">
        <v>38</v>
      </c>
      <c r="V162" s="146">
        <v>0.14</v>
      </c>
      <c r="W162" s="146">
        <f>$V$162*$K$162</f>
        <v>21.840000000000003</v>
      </c>
      <c r="X162" s="146">
        <v>0.10095</v>
      </c>
      <c r="Y162" s="146">
        <f>$X$162*$K$162</f>
        <v>15.748199999999999</v>
      </c>
      <c r="Z162" s="146">
        <v>0</v>
      </c>
      <c r="AA162" s="147">
        <f>$Z$162*$K$162</f>
        <v>0</v>
      </c>
      <c r="AR162" s="137" t="s">
        <v>123</v>
      </c>
      <c r="AT162" s="137" t="s">
        <v>122</v>
      </c>
      <c r="AU162" s="137" t="s">
        <v>89</v>
      </c>
      <c r="AY162" s="137" t="s">
        <v>121</v>
      </c>
      <c r="BE162" s="148">
        <f>IF($U$162="základní",$N$162,0)</f>
        <v>0</v>
      </c>
      <c r="BF162" s="148">
        <f>IF($U$162="snížená",$N$162,0)</f>
        <v>0</v>
      </c>
      <c r="BG162" s="148">
        <f>IF($U$162="zákl. přenesená",$N$162,0)</f>
        <v>0</v>
      </c>
      <c r="BH162" s="148">
        <f>IF($U$162="sníž. přenesená",$N$162,0)</f>
        <v>0</v>
      </c>
      <c r="BI162" s="148">
        <f>IF($U$162="nulová",$N$162,0)</f>
        <v>0</v>
      </c>
      <c r="BJ162" s="137" t="s">
        <v>18</v>
      </c>
      <c r="BK162" s="148">
        <f>ROUND($L$162*$K$162,2)</f>
        <v>0</v>
      </c>
      <c r="BL162" s="137" t="s">
        <v>123</v>
      </c>
      <c r="BM162" s="137" t="s">
        <v>224</v>
      </c>
    </row>
    <row r="163" spans="2:51" s="137" customFormat="1" ht="18.75" customHeight="1">
      <c r="B163" s="149"/>
      <c r="E163" s="150"/>
      <c r="F163" s="244" t="s">
        <v>311</v>
      </c>
      <c r="G163" s="238"/>
      <c r="H163" s="238"/>
      <c r="I163" s="238"/>
      <c r="K163" s="151">
        <f>176-23+(6*0.5)</f>
        <v>156</v>
      </c>
      <c r="R163" s="152"/>
      <c r="T163" s="153"/>
      <c r="AA163" s="154"/>
      <c r="AT163" s="150" t="s">
        <v>128</v>
      </c>
      <c r="AU163" s="150" t="s">
        <v>89</v>
      </c>
      <c r="AV163" s="150" t="s">
        <v>89</v>
      </c>
      <c r="AW163" s="150" t="s">
        <v>98</v>
      </c>
      <c r="AX163" s="150" t="s">
        <v>18</v>
      </c>
      <c r="AY163" s="150" t="s">
        <v>121</v>
      </c>
    </row>
    <row r="164" spans="2:65" s="168" customFormat="1" ht="27" customHeight="1">
      <c r="B164" s="169"/>
      <c r="C164" s="170">
        <v>33</v>
      </c>
      <c r="D164" s="170" t="s">
        <v>137</v>
      </c>
      <c r="E164" s="171" t="s">
        <v>225</v>
      </c>
      <c r="F164" s="249" t="s">
        <v>299</v>
      </c>
      <c r="G164" s="250"/>
      <c r="H164" s="250"/>
      <c r="I164" s="250"/>
      <c r="J164" s="172" t="s">
        <v>139</v>
      </c>
      <c r="K164" s="173">
        <f>K162*1.05</f>
        <v>163.8</v>
      </c>
      <c r="L164" s="251"/>
      <c r="M164" s="250"/>
      <c r="N164" s="251">
        <f>ROUND($L$164*$K$164,2)</f>
        <v>0</v>
      </c>
      <c r="O164" s="252"/>
      <c r="P164" s="252"/>
      <c r="Q164" s="252"/>
      <c r="R164" s="175"/>
      <c r="T164" s="174"/>
      <c r="U164" s="176" t="s">
        <v>38</v>
      </c>
      <c r="V164" s="177">
        <v>0</v>
      </c>
      <c r="W164" s="177">
        <f>$V$164*$K$164</f>
        <v>0</v>
      </c>
      <c r="X164" s="177">
        <v>0.024</v>
      </c>
      <c r="Y164" s="177">
        <f>$X$164*$K$164</f>
        <v>3.9312000000000005</v>
      </c>
      <c r="Z164" s="177">
        <v>0</v>
      </c>
      <c r="AA164" s="178">
        <f>$Z$164*$K$164</f>
        <v>0</v>
      </c>
      <c r="AR164" s="168" t="s">
        <v>129</v>
      </c>
      <c r="AT164" s="168" t="s">
        <v>137</v>
      </c>
      <c r="AU164" s="168" t="s">
        <v>89</v>
      </c>
      <c r="AY164" s="168" t="s">
        <v>121</v>
      </c>
      <c r="BE164" s="179">
        <f>IF($U$164="základní",$N$164,0)</f>
        <v>0</v>
      </c>
      <c r="BF164" s="179">
        <f>IF($U$164="snížená",$N$164,0)</f>
        <v>0</v>
      </c>
      <c r="BG164" s="179">
        <f>IF($U$164="zákl. přenesená",$N$164,0)</f>
        <v>0</v>
      </c>
      <c r="BH164" s="179">
        <f>IF($U$164="sníž. přenesená",$N$164,0)</f>
        <v>0</v>
      </c>
      <c r="BI164" s="179">
        <f>IF($U$164="nulová",$N$164,0)</f>
        <v>0</v>
      </c>
      <c r="BJ164" s="168" t="s">
        <v>18</v>
      </c>
      <c r="BK164" s="179">
        <f>ROUND($L$164*$K$164,2)</f>
        <v>0</v>
      </c>
      <c r="BL164" s="168" t="s">
        <v>123</v>
      </c>
      <c r="BM164" s="168" t="s">
        <v>226</v>
      </c>
    </row>
    <row r="165" spans="2:51" s="137" customFormat="1" ht="18.75" customHeight="1">
      <c r="B165" s="149"/>
      <c r="E165" s="150"/>
      <c r="F165" s="237"/>
      <c r="G165" s="238"/>
      <c r="H165" s="238"/>
      <c r="I165" s="238"/>
      <c r="K165" s="151"/>
      <c r="R165" s="152"/>
      <c r="T165" s="153"/>
      <c r="AA165" s="154"/>
      <c r="AT165" s="150" t="s">
        <v>128</v>
      </c>
      <c r="AU165" s="150" t="s">
        <v>89</v>
      </c>
      <c r="AV165" s="150" t="s">
        <v>89</v>
      </c>
      <c r="AW165" s="150" t="s">
        <v>98</v>
      </c>
      <c r="AX165" s="150" t="s">
        <v>18</v>
      </c>
      <c r="AY165" s="150" t="s">
        <v>121</v>
      </c>
    </row>
    <row r="166" spans="2:65" s="137" customFormat="1" ht="15.75" customHeight="1">
      <c r="B166" s="138"/>
      <c r="C166" s="139">
        <v>34</v>
      </c>
      <c r="D166" s="139" t="s">
        <v>122</v>
      </c>
      <c r="E166" s="140" t="s">
        <v>140</v>
      </c>
      <c r="F166" s="241" t="s">
        <v>141</v>
      </c>
      <c r="G166" s="242"/>
      <c r="H166" s="242"/>
      <c r="I166" s="242"/>
      <c r="J166" s="141" t="s">
        <v>125</v>
      </c>
      <c r="K166" s="142">
        <f>K167</f>
        <v>15</v>
      </c>
      <c r="L166" s="243"/>
      <c r="M166" s="242"/>
      <c r="N166" s="243">
        <f>ROUND($L$166*$K$166,2)</f>
        <v>0</v>
      </c>
      <c r="O166" s="242"/>
      <c r="P166" s="242"/>
      <c r="Q166" s="242"/>
      <c r="R166" s="143"/>
      <c r="T166" s="144"/>
      <c r="U166" s="145" t="s">
        <v>38</v>
      </c>
      <c r="V166" s="146">
        <v>0.154</v>
      </c>
      <c r="W166" s="146">
        <f>$V$166*$K$166</f>
        <v>2.31</v>
      </c>
      <c r="X166" s="146">
        <v>0.00028</v>
      </c>
      <c r="Y166" s="146">
        <f>$X$166*$K$166</f>
        <v>0.0042</v>
      </c>
      <c r="Z166" s="146">
        <v>0</v>
      </c>
      <c r="AA166" s="147">
        <f>$Z$166*$K$166</f>
        <v>0</v>
      </c>
      <c r="AR166" s="137" t="s">
        <v>123</v>
      </c>
      <c r="AT166" s="137" t="s">
        <v>122</v>
      </c>
      <c r="AU166" s="137" t="s">
        <v>89</v>
      </c>
      <c r="AY166" s="137" t="s">
        <v>121</v>
      </c>
      <c r="BE166" s="148">
        <f>IF($U$166="základní",$N$166,0)</f>
        <v>0</v>
      </c>
      <c r="BF166" s="148">
        <f>IF($U$166="snížená",$N$166,0)</f>
        <v>0</v>
      </c>
      <c r="BG166" s="148">
        <f>IF($U$166="zákl. přenesená",$N$166,0)</f>
        <v>0</v>
      </c>
      <c r="BH166" s="148">
        <f>IF($U$166="sníž. přenesená",$N$166,0)</f>
        <v>0</v>
      </c>
      <c r="BI166" s="148">
        <f>IF($U$166="nulová",$N$166,0)</f>
        <v>0</v>
      </c>
      <c r="BJ166" s="137" t="s">
        <v>18</v>
      </c>
      <c r="BK166" s="148">
        <f>ROUND($L$166*$K$166,2)</f>
        <v>0</v>
      </c>
      <c r="BL166" s="137" t="s">
        <v>123</v>
      </c>
      <c r="BM166" s="137" t="s">
        <v>227</v>
      </c>
    </row>
    <row r="167" spans="2:51" s="137" customFormat="1" ht="18.75" customHeight="1">
      <c r="B167" s="149"/>
      <c r="E167" s="150"/>
      <c r="F167" s="244" t="s">
        <v>300</v>
      </c>
      <c r="G167" s="238"/>
      <c r="H167" s="238"/>
      <c r="I167" s="238"/>
      <c r="K167" s="151">
        <v>15</v>
      </c>
      <c r="R167" s="152"/>
      <c r="T167" s="153"/>
      <c r="AA167" s="154"/>
      <c r="AT167" s="150" t="s">
        <v>128</v>
      </c>
      <c r="AU167" s="150" t="s">
        <v>89</v>
      </c>
      <c r="AV167" s="150" t="s">
        <v>89</v>
      </c>
      <c r="AW167" s="150" t="s">
        <v>98</v>
      </c>
      <c r="AX167" s="150" t="s">
        <v>18</v>
      </c>
      <c r="AY167" s="150" t="s">
        <v>121</v>
      </c>
    </row>
    <row r="168" spans="2:65" s="137" customFormat="1" ht="15.75" customHeight="1">
      <c r="B168" s="138"/>
      <c r="C168" s="139">
        <v>35</v>
      </c>
      <c r="D168" s="139" t="s">
        <v>122</v>
      </c>
      <c r="E168" s="140" t="s">
        <v>142</v>
      </c>
      <c r="F168" s="241" t="s">
        <v>143</v>
      </c>
      <c r="G168" s="242"/>
      <c r="H168" s="242"/>
      <c r="I168" s="242"/>
      <c r="J168" s="141" t="s">
        <v>125</v>
      </c>
      <c r="K168" s="142">
        <f>K166</f>
        <v>15</v>
      </c>
      <c r="L168" s="243"/>
      <c r="M168" s="242"/>
      <c r="N168" s="243">
        <f>ROUND($L$168*$K$168,2)</f>
        <v>0</v>
      </c>
      <c r="O168" s="242"/>
      <c r="P168" s="242"/>
      <c r="Q168" s="242"/>
      <c r="R168" s="143"/>
      <c r="T168" s="144"/>
      <c r="U168" s="145" t="s">
        <v>38</v>
      </c>
      <c r="V168" s="146">
        <v>0.196</v>
      </c>
      <c r="W168" s="146">
        <f>$V$168*$K$168</f>
        <v>2.94</v>
      </c>
      <c r="X168" s="146">
        <v>0</v>
      </c>
      <c r="Y168" s="146">
        <f>$X$168*$K$168</f>
        <v>0</v>
      </c>
      <c r="Z168" s="146">
        <v>0</v>
      </c>
      <c r="AA168" s="147">
        <f>$Z$168*$K$168</f>
        <v>0</v>
      </c>
      <c r="AR168" s="137" t="s">
        <v>123</v>
      </c>
      <c r="AT168" s="137" t="s">
        <v>122</v>
      </c>
      <c r="AU168" s="137" t="s">
        <v>89</v>
      </c>
      <c r="AY168" s="137" t="s">
        <v>121</v>
      </c>
      <c r="BE168" s="148">
        <f>IF($U$168="základní",$N$168,0)</f>
        <v>0</v>
      </c>
      <c r="BF168" s="148">
        <f>IF($U$168="snížená",$N$168,0)</f>
        <v>0</v>
      </c>
      <c r="BG168" s="148">
        <f>IF($U$168="zákl. přenesená",$N$168,0)</f>
        <v>0</v>
      </c>
      <c r="BH168" s="148">
        <f>IF($U$168="sníž. přenesená",$N$168,0)</f>
        <v>0</v>
      </c>
      <c r="BI168" s="148">
        <f>IF($U$168="nulová",$N$168,0)</f>
        <v>0</v>
      </c>
      <c r="BJ168" s="137" t="s">
        <v>18</v>
      </c>
      <c r="BK168" s="148">
        <f>ROUND($L$168*$K$168,2)</f>
        <v>0</v>
      </c>
      <c r="BL168" s="137" t="s">
        <v>123</v>
      </c>
      <c r="BM168" s="137" t="s">
        <v>228</v>
      </c>
    </row>
    <row r="169" spans="2:51" s="137" customFormat="1" ht="18.75" customHeight="1">
      <c r="B169" s="149"/>
      <c r="E169" s="150"/>
      <c r="F169" s="237"/>
      <c r="G169" s="238"/>
      <c r="H169" s="238"/>
      <c r="I169" s="238"/>
      <c r="K169" s="151"/>
      <c r="R169" s="152"/>
      <c r="T169" s="153"/>
      <c r="AA169" s="154"/>
      <c r="AT169" s="150" t="s">
        <v>128</v>
      </c>
      <c r="AU169" s="150" t="s">
        <v>89</v>
      </c>
      <c r="AV169" s="150" t="s">
        <v>89</v>
      </c>
      <c r="AW169" s="150" t="s">
        <v>98</v>
      </c>
      <c r="AX169" s="150" t="s">
        <v>18</v>
      </c>
      <c r="AY169" s="150" t="s">
        <v>121</v>
      </c>
    </row>
    <row r="170" spans="2:65" s="137" customFormat="1" ht="15" customHeight="1">
      <c r="B170" s="138"/>
      <c r="C170" s="139">
        <v>37</v>
      </c>
      <c r="D170" s="139" t="s">
        <v>122</v>
      </c>
      <c r="E170" s="140"/>
      <c r="F170" s="245" t="s">
        <v>304</v>
      </c>
      <c r="G170" s="246"/>
      <c r="H170" s="246"/>
      <c r="I170" s="247"/>
      <c r="J170" s="166" t="s">
        <v>303</v>
      </c>
      <c r="K170" s="142">
        <v>4</v>
      </c>
      <c r="L170" s="243"/>
      <c r="M170" s="242"/>
      <c r="N170" s="243">
        <f>K170*L170</f>
        <v>0</v>
      </c>
      <c r="O170" s="242"/>
      <c r="P170" s="242"/>
      <c r="Q170" s="242"/>
      <c r="R170" s="143"/>
      <c r="T170" s="144"/>
      <c r="U170" s="145" t="s">
        <v>38</v>
      </c>
      <c r="V170" s="146">
        <v>0.196</v>
      </c>
      <c r="W170" s="146">
        <f>$V$168*$K$168</f>
        <v>2.94</v>
      </c>
      <c r="X170" s="146">
        <v>0</v>
      </c>
      <c r="Y170" s="146">
        <f>$X$168*$K$168</f>
        <v>0</v>
      </c>
      <c r="Z170" s="146">
        <v>0</v>
      </c>
      <c r="AA170" s="147">
        <f>$Z$168*$K$168</f>
        <v>0</v>
      </c>
      <c r="AR170" s="137" t="s">
        <v>123</v>
      </c>
      <c r="AT170" s="137" t="s">
        <v>122</v>
      </c>
      <c r="AU170" s="137" t="s">
        <v>89</v>
      </c>
      <c r="AY170" s="137" t="s">
        <v>121</v>
      </c>
      <c r="BE170" s="148">
        <f>IF($U$168="základní",$N$168,0)</f>
        <v>0</v>
      </c>
      <c r="BF170" s="148">
        <f>IF($U$168="snížená",$N$168,0)</f>
        <v>0</v>
      </c>
      <c r="BG170" s="148">
        <f>IF($U$168="zákl. přenesená",$N$168,0)</f>
        <v>0</v>
      </c>
      <c r="BH170" s="148">
        <f>IF($U$168="sníž. přenesená",$N$168,0)</f>
        <v>0</v>
      </c>
      <c r="BI170" s="148">
        <f>IF($U$168="nulová",$N$168,0)</f>
        <v>0</v>
      </c>
      <c r="BJ170" s="137" t="s">
        <v>18</v>
      </c>
      <c r="BK170" s="148">
        <f>ROUND($L$168*$K$168,2)</f>
        <v>0</v>
      </c>
      <c r="BL170" s="137" t="s">
        <v>123</v>
      </c>
      <c r="BM170" s="137" t="s">
        <v>228</v>
      </c>
    </row>
    <row r="171" spans="2:65" s="137" customFormat="1" ht="15" customHeight="1">
      <c r="B171" s="138"/>
      <c r="C171" s="139">
        <v>38</v>
      </c>
      <c r="D171" s="139" t="s">
        <v>122</v>
      </c>
      <c r="E171" s="140"/>
      <c r="F171" s="245" t="s">
        <v>305</v>
      </c>
      <c r="G171" s="246"/>
      <c r="H171" s="246"/>
      <c r="I171" s="247"/>
      <c r="J171" s="166" t="s">
        <v>303</v>
      </c>
      <c r="K171" s="142">
        <v>7</v>
      </c>
      <c r="L171" s="243"/>
      <c r="M171" s="242"/>
      <c r="N171" s="243">
        <f>K171*L171</f>
        <v>0</v>
      </c>
      <c r="O171" s="242"/>
      <c r="P171" s="242"/>
      <c r="Q171" s="242"/>
      <c r="R171" s="143"/>
      <c r="T171" s="144"/>
      <c r="U171" s="145" t="s">
        <v>38</v>
      </c>
      <c r="V171" s="146">
        <v>0.196</v>
      </c>
      <c r="W171" s="146">
        <f>$V$168*$K$168</f>
        <v>2.94</v>
      </c>
      <c r="X171" s="146">
        <v>0</v>
      </c>
      <c r="Y171" s="146">
        <f>$X$168*$K$168</f>
        <v>0</v>
      </c>
      <c r="Z171" s="146">
        <v>0</v>
      </c>
      <c r="AA171" s="147">
        <f>$Z$168*$K$168</f>
        <v>0</v>
      </c>
      <c r="AR171" s="137" t="s">
        <v>123</v>
      </c>
      <c r="AT171" s="137" t="s">
        <v>122</v>
      </c>
      <c r="AU171" s="137" t="s">
        <v>89</v>
      </c>
      <c r="AY171" s="137" t="s">
        <v>121</v>
      </c>
      <c r="BE171" s="148">
        <f>IF($U$168="základní",$N$168,0)</f>
        <v>0</v>
      </c>
      <c r="BF171" s="148">
        <f>IF($U$168="snížená",$N$168,0)</f>
        <v>0</v>
      </c>
      <c r="BG171" s="148">
        <f>IF($U$168="zákl. přenesená",$N$168,0)</f>
        <v>0</v>
      </c>
      <c r="BH171" s="148">
        <f>IF($U$168="sníž. přenesená",$N$168,0)</f>
        <v>0</v>
      </c>
      <c r="BI171" s="148">
        <f>IF($U$168="nulová",$N$168,0)</f>
        <v>0</v>
      </c>
      <c r="BJ171" s="137" t="s">
        <v>18</v>
      </c>
      <c r="BK171" s="148">
        <f>ROUND($L$168*$K$168,2)</f>
        <v>0</v>
      </c>
      <c r="BL171" s="137" t="s">
        <v>123</v>
      </c>
      <c r="BM171" s="137" t="s">
        <v>228</v>
      </c>
    </row>
    <row r="172" spans="2:65" s="137" customFormat="1" ht="15" customHeight="1">
      <c r="B172" s="138"/>
      <c r="C172" s="139">
        <v>39</v>
      </c>
      <c r="D172" s="139" t="s">
        <v>122</v>
      </c>
      <c r="E172" s="140"/>
      <c r="F172" s="245" t="s">
        <v>315</v>
      </c>
      <c r="G172" s="246"/>
      <c r="H172" s="246"/>
      <c r="I172" s="247"/>
      <c r="J172" s="166" t="s">
        <v>316</v>
      </c>
      <c r="K172" s="142">
        <v>3</v>
      </c>
      <c r="L172" s="243"/>
      <c r="M172" s="242"/>
      <c r="N172" s="243">
        <f>K172*L172</f>
        <v>0</v>
      </c>
      <c r="O172" s="242"/>
      <c r="P172" s="242"/>
      <c r="Q172" s="242"/>
      <c r="R172" s="143"/>
      <c r="T172" s="144"/>
      <c r="U172" s="145" t="s">
        <v>38</v>
      </c>
      <c r="V172" s="146">
        <v>0.196</v>
      </c>
      <c r="W172" s="146">
        <f>$V$168*$K$168</f>
        <v>2.94</v>
      </c>
      <c r="X172" s="146">
        <v>0</v>
      </c>
      <c r="Y172" s="146">
        <f>$X$168*$K$168</f>
        <v>0</v>
      </c>
      <c r="Z172" s="146">
        <v>0</v>
      </c>
      <c r="AA172" s="147">
        <f>$Z$168*$K$168</f>
        <v>0</v>
      </c>
      <c r="AR172" s="137" t="s">
        <v>123</v>
      </c>
      <c r="AT172" s="137" t="s">
        <v>122</v>
      </c>
      <c r="AU172" s="137" t="s">
        <v>89</v>
      </c>
      <c r="AY172" s="137" t="s">
        <v>121</v>
      </c>
      <c r="BE172" s="148">
        <f>IF($U$168="základní",$N$168,0)</f>
        <v>0</v>
      </c>
      <c r="BF172" s="148">
        <f>IF($U$168="snížená",$N$168,0)</f>
        <v>0</v>
      </c>
      <c r="BG172" s="148">
        <f>IF($U$168="zákl. přenesená",$N$168,0)</f>
        <v>0</v>
      </c>
      <c r="BH172" s="148">
        <f>IF($U$168="sníž. přenesená",$N$168,0)</f>
        <v>0</v>
      </c>
      <c r="BI172" s="148">
        <f>IF($U$168="nulová",$N$168,0)</f>
        <v>0</v>
      </c>
      <c r="BJ172" s="137" t="s">
        <v>18</v>
      </c>
      <c r="BK172" s="148">
        <f>ROUND($L$168*$K$168,2)</f>
        <v>0</v>
      </c>
      <c r="BL172" s="137" t="s">
        <v>123</v>
      </c>
      <c r="BM172" s="137" t="s">
        <v>228</v>
      </c>
    </row>
    <row r="173" spans="2:63" s="157" customFormat="1" ht="23.25" customHeight="1">
      <c r="B173" s="158"/>
      <c r="D173" s="159" t="s">
        <v>104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239">
        <f>$BK$173</f>
        <v>0</v>
      </c>
      <c r="O173" s="240"/>
      <c r="P173" s="240"/>
      <c r="Q173" s="240"/>
      <c r="R173" s="161"/>
      <c r="T173" s="162"/>
      <c r="W173" s="163">
        <f>SUM($W$174:$W$175)</f>
        <v>3.371136</v>
      </c>
      <c r="Y173" s="163">
        <f>SUM($Y$174:$Y$175)</f>
        <v>0</v>
      </c>
      <c r="AA173" s="164">
        <f>SUM($AA$174:$AA$175)</f>
        <v>0</v>
      </c>
      <c r="AR173" s="160" t="s">
        <v>18</v>
      </c>
      <c r="AT173" s="160" t="s">
        <v>72</v>
      </c>
      <c r="AU173" s="160" t="s">
        <v>89</v>
      </c>
      <c r="AY173" s="160" t="s">
        <v>121</v>
      </c>
      <c r="BK173" s="165">
        <f>SUM($BK$174:$BK$175)</f>
        <v>0</v>
      </c>
    </row>
    <row r="174" spans="2:65" s="137" customFormat="1" ht="27" customHeight="1">
      <c r="B174" s="138"/>
      <c r="C174" s="139" t="s">
        <v>229</v>
      </c>
      <c r="D174" s="139" t="s">
        <v>122</v>
      </c>
      <c r="E174" s="140" t="s">
        <v>230</v>
      </c>
      <c r="F174" s="241" t="s">
        <v>231</v>
      </c>
      <c r="G174" s="242"/>
      <c r="H174" s="242"/>
      <c r="I174" s="242"/>
      <c r="J174" s="141" t="s">
        <v>136</v>
      </c>
      <c r="K174" s="142">
        <f>(K151*10*0.024)+(122*0.4*0.1*2.4)</f>
        <v>210.696</v>
      </c>
      <c r="L174" s="243"/>
      <c r="M174" s="242"/>
      <c r="N174" s="243">
        <f>ROUND($L$174*$K$174,2)</f>
        <v>0</v>
      </c>
      <c r="O174" s="242"/>
      <c r="P174" s="242"/>
      <c r="Q174" s="242"/>
      <c r="R174" s="143"/>
      <c r="T174" s="144"/>
      <c r="U174" s="145" t="s">
        <v>38</v>
      </c>
      <c r="V174" s="146">
        <v>0.016</v>
      </c>
      <c r="W174" s="146">
        <f>$V$174*$K$174</f>
        <v>3.371136</v>
      </c>
      <c r="X174" s="146">
        <v>0</v>
      </c>
      <c r="Y174" s="146">
        <f>$X$174*$K$174</f>
        <v>0</v>
      </c>
      <c r="Z174" s="146">
        <v>0</v>
      </c>
      <c r="AA174" s="147">
        <f>$Z$174*$K$174</f>
        <v>0</v>
      </c>
      <c r="AR174" s="137" t="s">
        <v>123</v>
      </c>
      <c r="AT174" s="137" t="s">
        <v>122</v>
      </c>
      <c r="AU174" s="137" t="s">
        <v>124</v>
      </c>
      <c r="AY174" s="137" t="s">
        <v>121</v>
      </c>
      <c r="BE174" s="148">
        <f>IF($U$174="základní",$N$174,0)</f>
        <v>0</v>
      </c>
      <c r="BF174" s="148">
        <f>IF($U$174="snížená",$N$174,0)</f>
        <v>0</v>
      </c>
      <c r="BG174" s="148">
        <f>IF($U$174="zákl. přenesená",$N$174,0)</f>
        <v>0</v>
      </c>
      <c r="BH174" s="148">
        <f>IF($U$174="sníž. přenesená",$N$174,0)</f>
        <v>0</v>
      </c>
      <c r="BI174" s="148">
        <f>IF($U$174="nulová",$N$174,0)</f>
        <v>0</v>
      </c>
      <c r="BJ174" s="137" t="s">
        <v>18</v>
      </c>
      <c r="BK174" s="148">
        <f>ROUND($L$174*$K$174,2)</f>
        <v>0</v>
      </c>
      <c r="BL174" s="137" t="s">
        <v>123</v>
      </c>
      <c r="BM174" s="137" t="s">
        <v>232</v>
      </c>
    </row>
    <row r="175" spans="2:51" s="137" customFormat="1" ht="32.25" customHeight="1">
      <c r="B175" s="149"/>
      <c r="E175" s="150"/>
      <c r="F175" s="237"/>
      <c r="G175" s="238"/>
      <c r="H175" s="238"/>
      <c r="I175" s="238"/>
      <c r="K175" s="151"/>
      <c r="R175" s="152"/>
      <c r="T175" s="153"/>
      <c r="AA175" s="154"/>
      <c r="AT175" s="150" t="s">
        <v>128</v>
      </c>
      <c r="AU175" s="150" t="s">
        <v>124</v>
      </c>
      <c r="AV175" s="150" t="s">
        <v>89</v>
      </c>
      <c r="AW175" s="150" t="s">
        <v>98</v>
      </c>
      <c r="AX175" s="150" t="s">
        <v>18</v>
      </c>
      <c r="AY175" s="150" t="s">
        <v>121</v>
      </c>
    </row>
    <row r="176" spans="2:63" s="157" customFormat="1" ht="30.75" customHeight="1">
      <c r="B176" s="158"/>
      <c r="D176" s="159" t="s">
        <v>145</v>
      </c>
      <c r="E176" s="159"/>
      <c r="F176" s="159"/>
      <c r="G176" s="159"/>
      <c r="H176" s="159"/>
      <c r="I176" s="159"/>
      <c r="J176" s="159"/>
      <c r="K176" s="159"/>
      <c r="L176" s="159"/>
      <c r="M176" s="159"/>
      <c r="N176" s="239">
        <f>$BK$176</f>
        <v>0</v>
      </c>
      <c r="O176" s="240"/>
      <c r="P176" s="240"/>
      <c r="Q176" s="240"/>
      <c r="R176" s="161"/>
      <c r="T176" s="162"/>
      <c r="W176" s="163">
        <f>SUM($W$177:$W$177)</f>
        <v>0</v>
      </c>
      <c r="Y176" s="163">
        <f>SUM($Y$177:$Y$177)</f>
        <v>0</v>
      </c>
      <c r="AA176" s="164">
        <f>SUM($AA$177:$AA$177)</f>
        <v>0</v>
      </c>
      <c r="AR176" s="160" t="s">
        <v>18</v>
      </c>
      <c r="AT176" s="160" t="s">
        <v>72</v>
      </c>
      <c r="AU176" s="160" t="s">
        <v>18</v>
      </c>
      <c r="AY176" s="160" t="s">
        <v>121</v>
      </c>
      <c r="BK176" s="165">
        <f>SUM($BK$177:$BK$177)</f>
        <v>0</v>
      </c>
    </row>
    <row r="177" spans="2:65" s="137" customFormat="1" ht="27" customHeight="1">
      <c r="B177" s="138"/>
      <c r="C177" s="139" t="s">
        <v>237</v>
      </c>
      <c r="D177" s="139" t="s">
        <v>122</v>
      </c>
      <c r="E177" s="140" t="s">
        <v>238</v>
      </c>
      <c r="F177" s="241" t="s">
        <v>239</v>
      </c>
      <c r="G177" s="242"/>
      <c r="H177" s="242"/>
      <c r="I177" s="242"/>
      <c r="J177" s="141" t="s">
        <v>136</v>
      </c>
      <c r="K177" s="142">
        <f>K119*0.1*2.4</f>
        <v>170.368</v>
      </c>
      <c r="L177" s="243"/>
      <c r="M177" s="242"/>
      <c r="N177" s="243">
        <f>ROUND($L$177*$K$177,2)</f>
        <v>0</v>
      </c>
      <c r="O177" s="242"/>
      <c r="P177" s="242"/>
      <c r="Q177" s="242"/>
      <c r="R177" s="143"/>
      <c r="T177" s="144"/>
      <c r="U177" s="145" t="s">
        <v>38</v>
      </c>
      <c r="V177" s="146">
        <v>0</v>
      </c>
      <c r="W177" s="146">
        <f>$V$177*$K$177</f>
        <v>0</v>
      </c>
      <c r="X177" s="146">
        <v>0</v>
      </c>
      <c r="Y177" s="146">
        <f>$X$177*$K$177</f>
        <v>0</v>
      </c>
      <c r="Z177" s="146">
        <v>0</v>
      </c>
      <c r="AA177" s="147">
        <f>$Z$177*$K$177</f>
        <v>0</v>
      </c>
      <c r="AC177" s="204"/>
      <c r="AR177" s="137" t="s">
        <v>123</v>
      </c>
      <c r="AT177" s="137" t="s">
        <v>122</v>
      </c>
      <c r="AU177" s="137" t="s">
        <v>89</v>
      </c>
      <c r="AY177" s="137" t="s">
        <v>121</v>
      </c>
      <c r="BE177" s="148">
        <f>IF($U$177="základní",$N$177,0)</f>
        <v>0</v>
      </c>
      <c r="BF177" s="148">
        <f>IF($U$177="snížená",$N$177,0)</f>
        <v>0</v>
      </c>
      <c r="BG177" s="148">
        <f>IF($U$177="zákl. přenesená",$N$177,0)</f>
        <v>0</v>
      </c>
      <c r="BH177" s="148">
        <f>IF($U$177="sníž. přenesená",$N$177,0)</f>
        <v>0</v>
      </c>
      <c r="BI177" s="148">
        <f>IF($U$177="nulová",$N$177,0)</f>
        <v>0</v>
      </c>
      <c r="BJ177" s="137" t="s">
        <v>18</v>
      </c>
      <c r="BK177" s="148">
        <f>ROUND($L$177*$K$177,2)</f>
        <v>0</v>
      </c>
      <c r="BL177" s="137" t="s">
        <v>123</v>
      </c>
      <c r="BM177" s="137" t="s">
        <v>240</v>
      </c>
    </row>
    <row r="178" spans="2:18" s="137" customFormat="1" ht="7.5" customHeight="1">
      <c r="B178" s="180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2"/>
    </row>
    <row r="179" spans="1:64" s="184" customFormat="1" ht="14.25" customHeight="1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</row>
    <row r="180" s="183" customFormat="1" ht="14.25" customHeight="1"/>
    <row r="181" spans="1:64" s="184" customFormat="1" ht="14.25" customHeight="1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R181" s="183"/>
      <c r="AS181" s="183"/>
      <c r="AT181" s="183"/>
      <c r="AU181" s="183"/>
      <c r="AV181" s="183"/>
      <c r="AW181" s="183"/>
      <c r="AX181" s="183"/>
      <c r="AY181" s="183"/>
      <c r="AZ181" s="183"/>
      <c r="BA181" s="183"/>
      <c r="BB181" s="183"/>
      <c r="BC181" s="183"/>
      <c r="BD181" s="183"/>
      <c r="BE181" s="183"/>
      <c r="BF181" s="183"/>
      <c r="BG181" s="183"/>
      <c r="BH181" s="183"/>
      <c r="BI181" s="183"/>
      <c r="BJ181" s="183"/>
      <c r="BK181" s="183"/>
      <c r="BL181" s="183"/>
    </row>
    <row r="182" spans="1:64" s="184" customFormat="1" ht="14.25" customHeight="1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183"/>
      <c r="BC182" s="183"/>
      <c r="BD182" s="183"/>
      <c r="BE182" s="183"/>
      <c r="BF182" s="183"/>
      <c r="BG182" s="183"/>
      <c r="BH182" s="183"/>
      <c r="BI182" s="183"/>
      <c r="BJ182" s="183"/>
      <c r="BK182" s="183"/>
      <c r="BL182" s="183"/>
    </row>
    <row r="183" spans="1:64" s="184" customFormat="1" ht="14.25" customHeight="1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</row>
    <row r="184" spans="1:64" s="184" customFormat="1" ht="14.25" customHeight="1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R184" s="183"/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183"/>
      <c r="BC184" s="183"/>
      <c r="BD184" s="183"/>
      <c r="BE184" s="183"/>
      <c r="BF184" s="183"/>
      <c r="BG184" s="183"/>
      <c r="BH184" s="183"/>
      <c r="BI184" s="183"/>
      <c r="BJ184" s="183"/>
      <c r="BK184" s="183"/>
      <c r="BL184" s="183"/>
    </row>
    <row r="185" spans="1:64" s="184" customFormat="1" ht="14.25" customHeight="1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</row>
    <row r="186" spans="1:64" s="184" customFormat="1" ht="14.25" customHeight="1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</row>
    <row r="187" spans="1:64" s="184" customFormat="1" ht="14.25" customHeight="1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</row>
    <row r="188" spans="1:64" s="184" customFormat="1" ht="14.25" customHeight="1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</row>
    <row r="189" spans="1:64" s="184" customFormat="1" ht="14.25" customHeight="1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</row>
    <row r="190" spans="1:64" s="184" customFormat="1" ht="14.25" customHeight="1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</row>
  </sheetData>
  <sheetProtection/>
  <mergeCells count="181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C86:G86"/>
    <mergeCell ref="N86:Q86"/>
    <mergeCell ref="H35:J35"/>
    <mergeCell ref="M35:P35"/>
    <mergeCell ref="H36:J36"/>
    <mergeCell ref="M36:P36"/>
    <mergeCell ref="L38:P38"/>
    <mergeCell ref="C76:Q76"/>
    <mergeCell ref="N88:Q88"/>
    <mergeCell ref="N89:Q89"/>
    <mergeCell ref="N90:Q90"/>
    <mergeCell ref="N91:Q91"/>
    <mergeCell ref="N92:Q92"/>
    <mergeCell ref="F78:P78"/>
    <mergeCell ref="F79:P79"/>
    <mergeCell ref="M81:P81"/>
    <mergeCell ref="M83:Q83"/>
    <mergeCell ref="M84:Q84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9:I119"/>
    <mergeCell ref="L119:M119"/>
    <mergeCell ref="N119:Q119"/>
    <mergeCell ref="F120:I120"/>
    <mergeCell ref="N115:Q115"/>
    <mergeCell ref="N116:Q116"/>
    <mergeCell ref="N117:Q117"/>
    <mergeCell ref="F118:I118"/>
    <mergeCell ref="L118:M118"/>
    <mergeCell ref="N118:Q118"/>
    <mergeCell ref="F121:I121"/>
    <mergeCell ref="L121:M121"/>
    <mergeCell ref="N121:Q121"/>
    <mergeCell ref="F122:I122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24:I124"/>
    <mergeCell ref="F125:I125"/>
    <mergeCell ref="L125:M125"/>
    <mergeCell ref="N125:Q125"/>
    <mergeCell ref="F126:I126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L143:M143"/>
    <mergeCell ref="N143:Q143"/>
    <mergeCell ref="F137:I137"/>
    <mergeCell ref="L137:M137"/>
    <mergeCell ref="N137:Q137"/>
    <mergeCell ref="F138:I138"/>
    <mergeCell ref="F139:I139"/>
    <mergeCell ref="L139:M139"/>
    <mergeCell ref="N139:Q139"/>
    <mergeCell ref="F144:I144"/>
    <mergeCell ref="L144:M144"/>
    <mergeCell ref="N144:Q144"/>
    <mergeCell ref="F145:I145"/>
    <mergeCell ref="F140:I140"/>
    <mergeCell ref="F141:I141"/>
    <mergeCell ref="L141:M141"/>
    <mergeCell ref="N141:Q141"/>
    <mergeCell ref="F142:I142"/>
    <mergeCell ref="F143:I143"/>
    <mergeCell ref="F148:I148"/>
    <mergeCell ref="F149:I149"/>
    <mergeCell ref="L149:M149"/>
    <mergeCell ref="N149:Q149"/>
    <mergeCell ref="F150:I150"/>
    <mergeCell ref="N146:Q146"/>
    <mergeCell ref="F147:I147"/>
    <mergeCell ref="L147:M147"/>
    <mergeCell ref="N147:Q147"/>
    <mergeCell ref="F151:I151"/>
    <mergeCell ref="L151:M151"/>
    <mergeCell ref="N151:Q151"/>
    <mergeCell ref="F152:I152"/>
    <mergeCell ref="F153:I153"/>
    <mergeCell ref="L153:M153"/>
    <mergeCell ref="N153:Q153"/>
    <mergeCell ref="F158:I158"/>
    <mergeCell ref="F159:I159"/>
    <mergeCell ref="L159:M159"/>
    <mergeCell ref="N159:Q159"/>
    <mergeCell ref="N157:Q157"/>
    <mergeCell ref="F154:I154"/>
    <mergeCell ref="F155:I155"/>
    <mergeCell ref="L155:M155"/>
    <mergeCell ref="N155:Q155"/>
    <mergeCell ref="F156:I156"/>
    <mergeCell ref="F166:I166"/>
    <mergeCell ref="L166:M166"/>
    <mergeCell ref="N166:Q166"/>
    <mergeCell ref="F160:I160"/>
    <mergeCell ref="F161:I161"/>
    <mergeCell ref="L161:M161"/>
    <mergeCell ref="N161:Q161"/>
    <mergeCell ref="F162:I162"/>
    <mergeCell ref="L162:M162"/>
    <mergeCell ref="N162:Q162"/>
    <mergeCell ref="F167:I167"/>
    <mergeCell ref="F168:I168"/>
    <mergeCell ref="L168:M168"/>
    <mergeCell ref="N168:Q168"/>
    <mergeCell ref="F169:I169"/>
    <mergeCell ref="F163:I163"/>
    <mergeCell ref="F164:I164"/>
    <mergeCell ref="L164:M164"/>
    <mergeCell ref="N164:Q164"/>
    <mergeCell ref="F165:I165"/>
    <mergeCell ref="F170:I170"/>
    <mergeCell ref="L170:M170"/>
    <mergeCell ref="N170:Q170"/>
    <mergeCell ref="F172:I172"/>
    <mergeCell ref="L172:M172"/>
    <mergeCell ref="N172:Q172"/>
    <mergeCell ref="F171:I171"/>
    <mergeCell ref="L171:M171"/>
    <mergeCell ref="N171:Q171"/>
    <mergeCell ref="F177:I177"/>
    <mergeCell ref="L177:M177"/>
    <mergeCell ref="N177:Q177"/>
    <mergeCell ref="N173:Q173"/>
    <mergeCell ref="F174:I174"/>
    <mergeCell ref="L174:M174"/>
    <mergeCell ref="N174:Q174"/>
    <mergeCell ref="F175:I175"/>
    <mergeCell ref="N176:Q17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zoomScalePageLayoutView="0" workbookViewId="0" topLeftCell="A1">
      <pane ySplit="1" topLeftCell="A108" activePane="bottomLeft" state="frozen"/>
      <selection pane="topLeft" activeCell="A1" sqref="A1"/>
      <selection pane="bottomLeft" activeCell="L123" sqref="L1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262</v>
      </c>
      <c r="G1" s="132"/>
      <c r="H1" s="275" t="s">
        <v>263</v>
      </c>
      <c r="I1" s="275"/>
      <c r="J1" s="275"/>
      <c r="K1" s="275"/>
      <c r="L1" s="132" t="s">
        <v>264</v>
      </c>
      <c r="M1" s="130"/>
      <c r="N1" s="130"/>
      <c r="O1" s="131" t="s">
        <v>88</v>
      </c>
      <c r="P1" s="130"/>
      <c r="Q1" s="130"/>
      <c r="R1" s="130"/>
      <c r="S1" s="132" t="s">
        <v>265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6" t="s">
        <v>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09" t="s">
        <v>5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89</v>
      </c>
    </row>
    <row r="4" spans="2:46" s="2" customFormat="1" ht="37.5" customHeight="1">
      <c r="B4" s="10"/>
      <c r="C4" s="230" t="s">
        <v>90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67" t="str">
        <f>'Rekapitulace stavby'!$K$6</f>
        <v>REKONSTRUKCE KOMUNIKACE části ul.Hlavní v úseku mezi ulicemi Sportovců a Na Výsluní, Psáry- k.ú. Dolní Jirčany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11"/>
    </row>
    <row r="7" spans="2:18" s="6" customFormat="1" ht="33.75" customHeight="1">
      <c r="B7" s="19"/>
      <c r="D7" s="15" t="s">
        <v>91</v>
      </c>
      <c r="F7" s="235" t="s">
        <v>241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R7" s="20"/>
    </row>
    <row r="8" spans="2:18" s="6" customFormat="1" ht="15" customHeight="1">
      <c r="B8" s="19"/>
      <c r="D8" s="16" t="s">
        <v>16</v>
      </c>
      <c r="F8" s="14" t="s">
        <v>144</v>
      </c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73" t="s">
        <v>317</v>
      </c>
      <c r="P9" s="27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223" t="s">
        <v>26</v>
      </c>
      <c r="P11" s="206"/>
      <c r="R11" s="20"/>
    </row>
    <row r="12" spans="2:18" s="6" customFormat="1" ht="18.75" customHeight="1">
      <c r="B12" s="19"/>
      <c r="E12" s="14" t="s">
        <v>27</v>
      </c>
      <c r="M12" s="16" t="s">
        <v>28</v>
      </c>
      <c r="O12" s="223"/>
      <c r="P12" s="20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25</v>
      </c>
      <c r="O14" s="223">
        <f>IF('Rekapitulace stavby'!$AN$13="","",'Rekapitulace stavby'!$AN$13)</f>
      </c>
      <c r="P14" s="206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223">
        <f>IF('Rekapitulace stavby'!$AN$14="","",'Rekapitulace stavby'!$AN$14)</f>
      </c>
      <c r="P15" s="20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25</v>
      </c>
      <c r="O17" s="223"/>
      <c r="P17" s="206"/>
      <c r="R17" s="20"/>
    </row>
    <row r="18" spans="2:18" s="6" customFormat="1" ht="18.75" customHeight="1">
      <c r="B18" s="19"/>
      <c r="E18" s="135" t="s">
        <v>269</v>
      </c>
      <c r="M18" s="16" t="s">
        <v>28</v>
      </c>
      <c r="O18" s="223"/>
      <c r="P18" s="20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223">
        <f>IF('Rekapitulace stavby'!$AN$19="","",'Rekapitulace stavby'!$AN$19)</f>
      </c>
      <c r="P20" s="206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223">
        <f>IF('Rekapitulace stavby'!$AN$20="","",'Rekapitulace stavby'!$AN$20)</f>
      </c>
      <c r="P21" s="206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33</v>
      </c>
      <c r="R23" s="20"/>
    </row>
    <row r="24" spans="2:18" s="78" customFormat="1" ht="15.75" customHeight="1">
      <c r="B24" s="79"/>
      <c r="E24" s="236"/>
      <c r="F24" s="272"/>
      <c r="G24" s="272"/>
      <c r="H24" s="272"/>
      <c r="I24" s="272"/>
      <c r="J24" s="272"/>
      <c r="K24" s="272"/>
      <c r="L24" s="272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1" t="s">
        <v>92</v>
      </c>
      <c r="M27" s="213">
        <f>$N$88</f>
        <v>0</v>
      </c>
      <c r="N27" s="206"/>
      <c r="O27" s="206"/>
      <c r="P27" s="206"/>
      <c r="R27" s="20"/>
    </row>
    <row r="28" spans="2:18" s="6" customFormat="1" ht="15" customHeight="1">
      <c r="B28" s="19"/>
      <c r="D28" s="18" t="s">
        <v>93</v>
      </c>
      <c r="M28" s="213">
        <f>$N$94</f>
        <v>0</v>
      </c>
      <c r="N28" s="206"/>
      <c r="O28" s="206"/>
      <c r="P28" s="206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36</v>
      </c>
      <c r="M30" s="271">
        <f>ROUND($M$27+$M$28,2)</f>
        <v>0</v>
      </c>
      <c r="N30" s="206"/>
      <c r="O30" s="206"/>
      <c r="P30" s="206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37</v>
      </c>
      <c r="E32" s="24" t="s">
        <v>38</v>
      </c>
      <c r="F32" s="25">
        <v>0.21</v>
      </c>
      <c r="G32" s="83" t="s">
        <v>39</v>
      </c>
      <c r="H32" s="270">
        <f>ROUND((SUM($BE$94:$BE$95)+SUM($BE$113:$BE$121)),2)</f>
        <v>0</v>
      </c>
      <c r="I32" s="206"/>
      <c r="J32" s="206"/>
      <c r="M32" s="270">
        <f>ROUND(ROUND((SUM($BE$94:$BE$95)+SUM($BE$113:$BE$121)),2)*$F$32,2)</f>
        <v>0</v>
      </c>
      <c r="N32" s="206"/>
      <c r="O32" s="206"/>
      <c r="P32" s="206"/>
      <c r="R32" s="20"/>
    </row>
    <row r="33" spans="2:18" s="6" customFormat="1" ht="15" customHeight="1">
      <c r="B33" s="19"/>
      <c r="E33" s="24" t="s">
        <v>40</v>
      </c>
      <c r="F33" s="25">
        <v>0.15</v>
      </c>
      <c r="G33" s="83" t="s">
        <v>39</v>
      </c>
      <c r="H33" s="270">
        <f>ROUND((SUM($BF$94:$BF$95)+SUM($BF$113:$BF$121)),2)</f>
        <v>0</v>
      </c>
      <c r="I33" s="206"/>
      <c r="J33" s="206"/>
      <c r="M33" s="270">
        <f>ROUND(ROUND((SUM($BF$94:$BF$95)+SUM($BF$113:$BF$121)),2)*$F$33,2)</f>
        <v>0</v>
      </c>
      <c r="N33" s="206"/>
      <c r="O33" s="206"/>
      <c r="P33" s="206"/>
      <c r="R33" s="20"/>
    </row>
    <row r="34" spans="2:18" s="6" customFormat="1" ht="15" customHeight="1" hidden="1">
      <c r="B34" s="19"/>
      <c r="E34" s="24" t="s">
        <v>41</v>
      </c>
      <c r="F34" s="25">
        <v>0.21</v>
      </c>
      <c r="G34" s="83" t="s">
        <v>39</v>
      </c>
      <c r="H34" s="270">
        <f>ROUND((SUM($BG$94:$BG$95)+SUM($BG$113:$BG$121)),2)</f>
        <v>0</v>
      </c>
      <c r="I34" s="206"/>
      <c r="J34" s="206"/>
      <c r="M34" s="270">
        <v>0</v>
      </c>
      <c r="N34" s="206"/>
      <c r="O34" s="206"/>
      <c r="P34" s="206"/>
      <c r="R34" s="20"/>
    </row>
    <row r="35" spans="2:18" s="6" customFormat="1" ht="15" customHeight="1" hidden="1">
      <c r="B35" s="19"/>
      <c r="E35" s="24" t="s">
        <v>42</v>
      </c>
      <c r="F35" s="25">
        <v>0.15</v>
      </c>
      <c r="G35" s="83" t="s">
        <v>39</v>
      </c>
      <c r="H35" s="270">
        <f>ROUND((SUM($BH$94:$BH$95)+SUM($BH$113:$BH$121)),2)</f>
        <v>0</v>
      </c>
      <c r="I35" s="206"/>
      <c r="J35" s="206"/>
      <c r="M35" s="270">
        <v>0</v>
      </c>
      <c r="N35" s="206"/>
      <c r="O35" s="206"/>
      <c r="P35" s="206"/>
      <c r="R35" s="20"/>
    </row>
    <row r="36" spans="2:18" s="6" customFormat="1" ht="15" customHeight="1" hidden="1">
      <c r="B36" s="19"/>
      <c r="E36" s="24" t="s">
        <v>43</v>
      </c>
      <c r="F36" s="25">
        <v>0</v>
      </c>
      <c r="G36" s="83" t="s">
        <v>39</v>
      </c>
      <c r="H36" s="270">
        <f>ROUND((SUM($BI$94:$BI$95)+SUM($BI$113:$BI$121)),2)</f>
        <v>0</v>
      </c>
      <c r="I36" s="206"/>
      <c r="J36" s="206"/>
      <c r="M36" s="270">
        <v>0</v>
      </c>
      <c r="N36" s="206"/>
      <c r="O36" s="206"/>
      <c r="P36" s="206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44</v>
      </c>
      <c r="E38" s="30"/>
      <c r="F38" s="30"/>
      <c r="G38" s="84" t="s">
        <v>45</v>
      </c>
      <c r="H38" s="31" t="s">
        <v>46</v>
      </c>
      <c r="I38" s="30"/>
      <c r="J38" s="30"/>
      <c r="K38" s="30"/>
      <c r="L38" s="229">
        <f>SUM($M$30:$M$36)</f>
        <v>0</v>
      </c>
      <c r="M38" s="225"/>
      <c r="N38" s="225"/>
      <c r="O38" s="225"/>
      <c r="P38" s="227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47</v>
      </c>
      <c r="E50" s="33"/>
      <c r="F50" s="33"/>
      <c r="G50" s="33"/>
      <c r="H50" s="34"/>
      <c r="J50" s="32" t="s">
        <v>48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49</v>
      </c>
      <c r="E59" s="38"/>
      <c r="F59" s="38"/>
      <c r="G59" s="39" t="s">
        <v>50</v>
      </c>
      <c r="H59" s="40"/>
      <c r="J59" s="37" t="s">
        <v>49</v>
      </c>
      <c r="K59" s="38"/>
      <c r="L59" s="38"/>
      <c r="M59" s="38"/>
      <c r="N59" s="39" t="s">
        <v>50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51</v>
      </c>
      <c r="E61" s="33"/>
      <c r="F61" s="33"/>
      <c r="G61" s="33"/>
      <c r="H61" s="34"/>
      <c r="J61" s="32" t="s">
        <v>52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49</v>
      </c>
      <c r="E70" s="38"/>
      <c r="F70" s="38"/>
      <c r="G70" s="39" t="s">
        <v>50</v>
      </c>
      <c r="H70" s="40"/>
      <c r="J70" s="37" t="s">
        <v>49</v>
      </c>
      <c r="K70" s="38"/>
      <c r="L70" s="38"/>
      <c r="M70" s="38"/>
      <c r="N70" s="39" t="s">
        <v>50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30" t="s">
        <v>94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67" t="str">
        <f>$F$6</f>
        <v>REKONSTRUKCE KOMUNIKACE části ul.Hlavní v úseku mezi ulicemi Sportovců a Na Výsluní, Psáry- k.ú. Dolní Jirčany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20"/>
    </row>
    <row r="79" spans="2:18" s="6" customFormat="1" ht="37.5" customHeight="1">
      <c r="B79" s="19"/>
      <c r="C79" s="49" t="s">
        <v>91</v>
      </c>
      <c r="F79" s="231" t="str">
        <f>$F$7</f>
        <v>VRN - Vedlejší rozpočtové náklady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61" t="str">
        <f>IF($O$9="","",$O$9)</f>
        <v>duben 2017</v>
      </c>
      <c r="N81" s="206"/>
      <c r="O81" s="206"/>
      <c r="P81" s="20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Obec Psáry</v>
      </c>
      <c r="K83" s="16" t="s">
        <v>30</v>
      </c>
      <c r="M83" s="223" t="str">
        <f>$E$18</f>
        <v>ing.Jiří Nádvorník</v>
      </c>
      <c r="N83" s="206"/>
      <c r="O83" s="206"/>
      <c r="P83" s="206"/>
      <c r="Q83" s="206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223" t="str">
        <f>$E$21</f>
        <v> </v>
      </c>
      <c r="N84" s="206"/>
      <c r="O84" s="206"/>
      <c r="P84" s="206"/>
      <c r="Q84" s="20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69" t="s">
        <v>95</v>
      </c>
      <c r="D86" s="208"/>
      <c r="E86" s="208"/>
      <c r="F86" s="208"/>
      <c r="G86" s="208"/>
      <c r="H86" s="28"/>
      <c r="I86" s="28"/>
      <c r="J86" s="28"/>
      <c r="K86" s="28"/>
      <c r="L86" s="28"/>
      <c r="M86" s="28"/>
      <c r="N86" s="269" t="s">
        <v>96</v>
      </c>
      <c r="O86" s="206"/>
      <c r="P86" s="206"/>
      <c r="Q86" s="20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97</v>
      </c>
      <c r="N88" s="205">
        <f>$N$113</f>
        <v>0</v>
      </c>
      <c r="O88" s="206"/>
      <c r="P88" s="206"/>
      <c r="Q88" s="206"/>
      <c r="R88" s="20"/>
      <c r="AU88" s="6" t="s">
        <v>98</v>
      </c>
    </row>
    <row r="89" spans="2:18" s="64" customFormat="1" ht="25.5" customHeight="1">
      <c r="B89" s="85"/>
      <c r="D89" s="86" t="s">
        <v>241</v>
      </c>
      <c r="N89" s="268">
        <f>$N$114</f>
        <v>0</v>
      </c>
      <c r="O89" s="266"/>
      <c r="P89" s="266"/>
      <c r="Q89" s="266"/>
      <c r="R89" s="87"/>
    </row>
    <row r="90" spans="2:18" s="81" customFormat="1" ht="21" customHeight="1">
      <c r="B90" s="88"/>
      <c r="D90" s="89" t="s">
        <v>242</v>
      </c>
      <c r="N90" s="265">
        <f>$N$115</f>
        <v>0</v>
      </c>
      <c r="O90" s="266"/>
      <c r="P90" s="266"/>
      <c r="Q90" s="266"/>
      <c r="R90" s="90"/>
    </row>
    <row r="91" spans="2:18" s="81" customFormat="1" ht="21" customHeight="1">
      <c r="B91" s="88"/>
      <c r="D91" s="89" t="s">
        <v>243</v>
      </c>
      <c r="N91" s="265">
        <f>$N$118</f>
        <v>0</v>
      </c>
      <c r="O91" s="266"/>
      <c r="P91" s="266"/>
      <c r="Q91" s="266"/>
      <c r="R91" s="90"/>
    </row>
    <row r="92" spans="2:18" s="81" customFormat="1" ht="21" customHeight="1">
      <c r="B92" s="88"/>
      <c r="D92" s="89" t="s">
        <v>244</v>
      </c>
      <c r="N92" s="265">
        <f>$N$120</f>
        <v>0</v>
      </c>
      <c r="O92" s="266"/>
      <c r="P92" s="266"/>
      <c r="Q92" s="266"/>
      <c r="R92" s="90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59" t="s">
        <v>105</v>
      </c>
      <c r="N94" s="205">
        <v>0</v>
      </c>
      <c r="O94" s="206"/>
      <c r="P94" s="206"/>
      <c r="Q94" s="206"/>
      <c r="R94" s="20"/>
      <c r="T94" s="91"/>
      <c r="U94" s="92" t="s">
        <v>37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7" t="s">
        <v>87</v>
      </c>
      <c r="D96" s="28"/>
      <c r="E96" s="28"/>
      <c r="F96" s="28"/>
      <c r="G96" s="28"/>
      <c r="H96" s="28"/>
      <c r="I96" s="28"/>
      <c r="J96" s="28"/>
      <c r="K96" s="28"/>
      <c r="L96" s="207">
        <f>ROUND(SUM($N$88+$N$94),2)</f>
        <v>0</v>
      </c>
      <c r="M96" s="208"/>
      <c r="N96" s="208"/>
      <c r="O96" s="208"/>
      <c r="P96" s="208"/>
      <c r="Q96" s="208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230" t="s">
        <v>106</v>
      </c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267" t="str">
        <f>$F$6</f>
        <v>REKONSTRUKCE KOMUNIKACE části ul.Hlavní v úseku mezi ulicemi Sportovců a Na Výsluní, Psáry- k.ú. Dolní Jirčany</v>
      </c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R104" s="20"/>
    </row>
    <row r="105" spans="2:18" s="6" customFormat="1" ht="37.5" customHeight="1">
      <c r="B105" s="19"/>
      <c r="C105" s="49" t="s">
        <v>91</v>
      </c>
      <c r="F105" s="231" t="str">
        <f>$F$7</f>
        <v>VRN - Vedlejší rozpočtové náklady</v>
      </c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261" t="str">
        <f>IF($O$9="","",$O$9)</f>
        <v>duben 2017</v>
      </c>
      <c r="N107" s="206"/>
      <c r="O107" s="206"/>
      <c r="P107" s="206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Obec Psáry</v>
      </c>
      <c r="K109" s="16" t="s">
        <v>30</v>
      </c>
      <c r="M109" s="223" t="str">
        <f>$E$18</f>
        <v>ing.Jiří Nádvorník</v>
      </c>
      <c r="N109" s="206"/>
      <c r="O109" s="206"/>
      <c r="P109" s="206"/>
      <c r="Q109" s="206"/>
      <c r="R109" s="20"/>
    </row>
    <row r="110" spans="2:18" s="6" customFormat="1" ht="15" customHeight="1">
      <c r="B110" s="19"/>
      <c r="C110" s="16" t="s">
        <v>29</v>
      </c>
      <c r="F110" s="14" t="str">
        <f>IF($E$15="","",$E$15)</f>
        <v> </v>
      </c>
      <c r="K110" s="16" t="s">
        <v>32</v>
      </c>
      <c r="M110" s="223" t="str">
        <f>$E$21</f>
        <v> </v>
      </c>
      <c r="N110" s="206"/>
      <c r="O110" s="206"/>
      <c r="P110" s="206"/>
      <c r="Q110" s="206"/>
      <c r="R110" s="20"/>
    </row>
    <row r="111" spans="2:18" s="6" customFormat="1" ht="11.25" customHeight="1">
      <c r="B111" s="19"/>
      <c r="R111" s="20"/>
    </row>
    <row r="112" spans="2:27" s="93" customFormat="1" ht="30" customHeight="1">
      <c r="B112" s="94"/>
      <c r="C112" s="95" t="s">
        <v>107</v>
      </c>
      <c r="D112" s="96" t="s">
        <v>108</v>
      </c>
      <c r="E112" s="96" t="s">
        <v>55</v>
      </c>
      <c r="F112" s="262" t="s">
        <v>109</v>
      </c>
      <c r="G112" s="263"/>
      <c r="H112" s="263"/>
      <c r="I112" s="263"/>
      <c r="J112" s="96" t="s">
        <v>110</v>
      </c>
      <c r="K112" s="96" t="s">
        <v>111</v>
      </c>
      <c r="L112" s="262" t="s">
        <v>112</v>
      </c>
      <c r="M112" s="263"/>
      <c r="N112" s="262" t="s">
        <v>113</v>
      </c>
      <c r="O112" s="263"/>
      <c r="P112" s="263"/>
      <c r="Q112" s="264"/>
      <c r="R112" s="97"/>
      <c r="T112" s="54" t="s">
        <v>114</v>
      </c>
      <c r="U112" s="55" t="s">
        <v>37</v>
      </c>
      <c r="V112" s="55" t="s">
        <v>115</v>
      </c>
      <c r="W112" s="55" t="s">
        <v>116</v>
      </c>
      <c r="X112" s="55" t="s">
        <v>117</v>
      </c>
      <c r="Y112" s="55" t="s">
        <v>118</v>
      </c>
      <c r="Z112" s="55" t="s">
        <v>119</v>
      </c>
      <c r="AA112" s="56" t="s">
        <v>120</v>
      </c>
    </row>
    <row r="113" spans="2:63" s="6" customFormat="1" ht="30" customHeight="1">
      <c r="B113" s="19"/>
      <c r="C113" s="59" t="s">
        <v>92</v>
      </c>
      <c r="N113" s="257">
        <f>$BK$113</f>
        <v>0</v>
      </c>
      <c r="O113" s="206"/>
      <c r="P113" s="206"/>
      <c r="Q113" s="206"/>
      <c r="R113" s="20"/>
      <c r="T113" s="58"/>
      <c r="U113" s="33"/>
      <c r="V113" s="33"/>
      <c r="W113" s="98">
        <f>$W$114</f>
        <v>0</v>
      </c>
      <c r="X113" s="33"/>
      <c r="Y113" s="98">
        <f>$Y$114</f>
        <v>0</v>
      </c>
      <c r="Z113" s="33"/>
      <c r="AA113" s="99">
        <f>$AA$114</f>
        <v>0</v>
      </c>
      <c r="AT113" s="6" t="s">
        <v>72</v>
      </c>
      <c r="AU113" s="6" t="s">
        <v>98</v>
      </c>
      <c r="BK113" s="100">
        <f>$BK$114</f>
        <v>0</v>
      </c>
    </row>
    <row r="114" spans="2:63" s="101" customFormat="1" ht="37.5" customHeight="1">
      <c r="B114" s="102"/>
      <c r="D114" s="103" t="s">
        <v>241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258">
        <f>$BK$114</f>
        <v>0</v>
      </c>
      <c r="O114" s="259"/>
      <c r="P114" s="259"/>
      <c r="Q114" s="259"/>
      <c r="R114" s="105"/>
      <c r="T114" s="106"/>
      <c r="W114" s="107">
        <f>$W$115+$W$118+$W$120</f>
        <v>0</v>
      </c>
      <c r="Y114" s="107">
        <f>$Y$115+$Y$118+$Y$120</f>
        <v>0</v>
      </c>
      <c r="AA114" s="108">
        <f>$AA$115+$AA$118+$AA$120</f>
        <v>0</v>
      </c>
      <c r="AR114" s="104" t="s">
        <v>126</v>
      </c>
      <c r="AT114" s="104" t="s">
        <v>72</v>
      </c>
      <c r="AU114" s="104" t="s">
        <v>73</v>
      </c>
      <c r="AY114" s="104" t="s">
        <v>121</v>
      </c>
      <c r="BK114" s="109">
        <f>$BK$115+$BK$118+$BK$120</f>
        <v>0</v>
      </c>
    </row>
    <row r="115" spans="2:63" s="101" customFormat="1" ht="21" customHeight="1">
      <c r="B115" s="102"/>
      <c r="D115" s="110" t="s">
        <v>242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260">
        <f>$BK$115</f>
        <v>0</v>
      </c>
      <c r="O115" s="259"/>
      <c r="P115" s="259"/>
      <c r="Q115" s="259"/>
      <c r="R115" s="105"/>
      <c r="T115" s="106"/>
      <c r="W115" s="107">
        <f>SUM($W$116:$W$117)</f>
        <v>0</v>
      </c>
      <c r="Y115" s="107">
        <f>SUM($Y$116:$Y$117)</f>
        <v>0</v>
      </c>
      <c r="AA115" s="108">
        <f>SUM($AA$116:$AA$117)</f>
        <v>0</v>
      </c>
      <c r="AR115" s="104" t="s">
        <v>126</v>
      </c>
      <c r="AT115" s="104" t="s">
        <v>72</v>
      </c>
      <c r="AU115" s="104" t="s">
        <v>18</v>
      </c>
      <c r="AY115" s="104" t="s">
        <v>121</v>
      </c>
      <c r="BK115" s="109">
        <f>SUM($BK$116:$BK$117)</f>
        <v>0</v>
      </c>
    </row>
    <row r="116" spans="2:65" s="6" customFormat="1" ht="15.75" customHeight="1">
      <c r="B116" s="19"/>
      <c r="C116" s="111" t="s">
        <v>18</v>
      </c>
      <c r="D116" s="111" t="s">
        <v>122</v>
      </c>
      <c r="E116" s="112" t="s">
        <v>245</v>
      </c>
      <c r="F116" s="282" t="s">
        <v>246</v>
      </c>
      <c r="G116" s="283"/>
      <c r="H116" s="283"/>
      <c r="I116" s="283"/>
      <c r="J116" s="113" t="s">
        <v>247</v>
      </c>
      <c r="K116" s="114">
        <v>1</v>
      </c>
      <c r="L116" s="284"/>
      <c r="M116" s="283"/>
      <c r="N116" s="284">
        <f>ROUND($L$116*$K$116,2)</f>
        <v>0</v>
      </c>
      <c r="O116" s="283"/>
      <c r="P116" s="283"/>
      <c r="Q116" s="283"/>
      <c r="R116" s="20"/>
      <c r="T116" s="115"/>
      <c r="U116" s="26" t="s">
        <v>38</v>
      </c>
      <c r="V116" s="116">
        <v>0</v>
      </c>
      <c r="W116" s="116">
        <f>$V$116*$K$116</f>
        <v>0</v>
      </c>
      <c r="X116" s="116">
        <v>0</v>
      </c>
      <c r="Y116" s="116">
        <f>$X$116*$K$116</f>
        <v>0</v>
      </c>
      <c r="Z116" s="116">
        <v>0</v>
      </c>
      <c r="AA116" s="117">
        <f>$Z$116*$K$116</f>
        <v>0</v>
      </c>
      <c r="AR116" s="6" t="s">
        <v>248</v>
      </c>
      <c r="AT116" s="6" t="s">
        <v>122</v>
      </c>
      <c r="AU116" s="6" t="s">
        <v>89</v>
      </c>
      <c r="AY116" s="6" t="s">
        <v>121</v>
      </c>
      <c r="BE116" s="118">
        <f>IF($U$116="základní",$N$116,0)</f>
        <v>0</v>
      </c>
      <c r="BF116" s="118">
        <f>IF($U$116="snížená",$N$116,0)</f>
        <v>0</v>
      </c>
      <c r="BG116" s="118">
        <f>IF($U$116="zákl. přenesená",$N$116,0)</f>
        <v>0</v>
      </c>
      <c r="BH116" s="118">
        <f>IF($U$116="sníž. přenesená",$N$116,0)</f>
        <v>0</v>
      </c>
      <c r="BI116" s="118">
        <f>IF($U$116="nulová",$N$116,0)</f>
        <v>0</v>
      </c>
      <c r="BJ116" s="6" t="s">
        <v>18</v>
      </c>
      <c r="BK116" s="118">
        <f>ROUND($L$116*$K$116,2)</f>
        <v>0</v>
      </c>
      <c r="BL116" s="6" t="s">
        <v>248</v>
      </c>
      <c r="BM116" s="6" t="s">
        <v>249</v>
      </c>
    </row>
    <row r="117" spans="2:65" s="6" customFormat="1" ht="15.75" customHeight="1">
      <c r="B117" s="19"/>
      <c r="C117" s="111" t="s">
        <v>89</v>
      </c>
      <c r="D117" s="111" t="s">
        <v>122</v>
      </c>
      <c r="E117" s="112" t="s">
        <v>250</v>
      </c>
      <c r="F117" s="282" t="s">
        <v>251</v>
      </c>
      <c r="G117" s="283"/>
      <c r="H117" s="283"/>
      <c r="I117" s="283"/>
      <c r="J117" s="113" t="s">
        <v>247</v>
      </c>
      <c r="K117" s="114">
        <v>1</v>
      </c>
      <c r="L117" s="284"/>
      <c r="M117" s="283"/>
      <c r="N117" s="284">
        <f>ROUND($L$117*$K$117,2)</f>
        <v>0</v>
      </c>
      <c r="O117" s="283"/>
      <c r="P117" s="283"/>
      <c r="Q117" s="283"/>
      <c r="R117" s="20"/>
      <c r="T117" s="115"/>
      <c r="U117" s="26" t="s">
        <v>38</v>
      </c>
      <c r="V117" s="116">
        <v>0</v>
      </c>
      <c r="W117" s="116">
        <f>$V$117*$K$117</f>
        <v>0</v>
      </c>
      <c r="X117" s="116">
        <v>0</v>
      </c>
      <c r="Y117" s="116">
        <f>$X$117*$K$117</f>
        <v>0</v>
      </c>
      <c r="Z117" s="116">
        <v>0</v>
      </c>
      <c r="AA117" s="117">
        <f>$Z$117*$K$117</f>
        <v>0</v>
      </c>
      <c r="AR117" s="6" t="s">
        <v>248</v>
      </c>
      <c r="AT117" s="6" t="s">
        <v>122</v>
      </c>
      <c r="AU117" s="6" t="s">
        <v>89</v>
      </c>
      <c r="AY117" s="6" t="s">
        <v>121</v>
      </c>
      <c r="BE117" s="118">
        <f>IF($U$117="základní",$N$117,0)</f>
        <v>0</v>
      </c>
      <c r="BF117" s="118">
        <f>IF($U$117="snížená",$N$117,0)</f>
        <v>0</v>
      </c>
      <c r="BG117" s="118">
        <f>IF($U$117="zákl. přenesená",$N$117,0)</f>
        <v>0</v>
      </c>
      <c r="BH117" s="118">
        <f>IF($U$117="sníž. přenesená",$N$117,0)</f>
        <v>0</v>
      </c>
      <c r="BI117" s="118">
        <f>IF($U$117="nulová",$N$117,0)</f>
        <v>0</v>
      </c>
      <c r="BJ117" s="6" t="s">
        <v>18</v>
      </c>
      <c r="BK117" s="118">
        <f>ROUND($L$117*$K$117,2)</f>
        <v>0</v>
      </c>
      <c r="BL117" s="6" t="s">
        <v>248</v>
      </c>
      <c r="BM117" s="6" t="s">
        <v>252</v>
      </c>
    </row>
    <row r="118" spans="2:63" s="101" customFormat="1" ht="30.75" customHeight="1">
      <c r="B118" s="102"/>
      <c r="D118" s="110" t="s">
        <v>243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260">
        <f>$BK$118</f>
        <v>0</v>
      </c>
      <c r="O118" s="259"/>
      <c r="P118" s="259"/>
      <c r="Q118" s="259"/>
      <c r="R118" s="105"/>
      <c r="T118" s="106"/>
      <c r="W118" s="107">
        <f>$W$119</f>
        <v>0</v>
      </c>
      <c r="Y118" s="107">
        <f>$Y$119</f>
        <v>0</v>
      </c>
      <c r="AA118" s="108">
        <f>$AA$119</f>
        <v>0</v>
      </c>
      <c r="AR118" s="104" t="s">
        <v>126</v>
      </c>
      <c r="AT118" s="104" t="s">
        <v>72</v>
      </c>
      <c r="AU118" s="104" t="s">
        <v>18</v>
      </c>
      <c r="AY118" s="104" t="s">
        <v>121</v>
      </c>
      <c r="BK118" s="109">
        <f>$BK$119</f>
        <v>0</v>
      </c>
    </row>
    <row r="119" spans="2:65" s="6" customFormat="1" ht="27" customHeight="1">
      <c r="B119" s="19"/>
      <c r="C119" s="111" t="s">
        <v>124</v>
      </c>
      <c r="D119" s="111" t="s">
        <v>122</v>
      </c>
      <c r="E119" s="112" t="s">
        <v>253</v>
      </c>
      <c r="F119" s="282" t="s">
        <v>254</v>
      </c>
      <c r="G119" s="283"/>
      <c r="H119" s="283"/>
      <c r="I119" s="283"/>
      <c r="J119" s="113" t="s">
        <v>247</v>
      </c>
      <c r="K119" s="114">
        <v>1</v>
      </c>
      <c r="L119" s="284"/>
      <c r="M119" s="283"/>
      <c r="N119" s="284">
        <f>ROUND($L$119*$K$119,2)</f>
        <v>0</v>
      </c>
      <c r="O119" s="283"/>
      <c r="P119" s="283"/>
      <c r="Q119" s="283"/>
      <c r="R119" s="20"/>
      <c r="T119" s="115"/>
      <c r="U119" s="26" t="s">
        <v>38</v>
      </c>
      <c r="V119" s="116">
        <v>0</v>
      </c>
      <c r="W119" s="116">
        <f>$V$119*$K$119</f>
        <v>0</v>
      </c>
      <c r="X119" s="116">
        <v>0</v>
      </c>
      <c r="Y119" s="116">
        <f>$X$119*$K$119</f>
        <v>0</v>
      </c>
      <c r="Z119" s="116">
        <v>0</v>
      </c>
      <c r="AA119" s="117">
        <f>$Z$119*$K$119</f>
        <v>0</v>
      </c>
      <c r="AR119" s="6" t="s">
        <v>248</v>
      </c>
      <c r="AT119" s="6" t="s">
        <v>122</v>
      </c>
      <c r="AU119" s="6" t="s">
        <v>89</v>
      </c>
      <c r="AY119" s="6" t="s">
        <v>121</v>
      </c>
      <c r="BE119" s="118">
        <f>IF($U$119="základní",$N$119,0)</f>
        <v>0</v>
      </c>
      <c r="BF119" s="118">
        <f>IF($U$119="snížená",$N$119,0)</f>
        <v>0</v>
      </c>
      <c r="BG119" s="118">
        <f>IF($U$119="zákl. přenesená",$N$119,0)</f>
        <v>0</v>
      </c>
      <c r="BH119" s="118">
        <f>IF($U$119="sníž. přenesená",$N$119,0)</f>
        <v>0</v>
      </c>
      <c r="BI119" s="118">
        <f>IF($U$119="nulová",$N$119,0)</f>
        <v>0</v>
      </c>
      <c r="BJ119" s="6" t="s">
        <v>18</v>
      </c>
      <c r="BK119" s="118">
        <f>ROUND($L$119*$K$119,2)</f>
        <v>0</v>
      </c>
      <c r="BL119" s="6" t="s">
        <v>248</v>
      </c>
      <c r="BM119" s="6" t="s">
        <v>255</v>
      </c>
    </row>
    <row r="120" spans="2:63" s="101" customFormat="1" ht="30.75" customHeight="1">
      <c r="B120" s="102"/>
      <c r="D120" s="110" t="s">
        <v>244</v>
      </c>
      <c r="E120" s="110"/>
      <c r="F120" s="110"/>
      <c r="G120" s="110"/>
      <c r="H120" s="110"/>
      <c r="I120" s="110"/>
      <c r="J120" s="110"/>
      <c r="K120" s="110"/>
      <c r="L120" s="110"/>
      <c r="M120" s="110"/>
      <c r="N120" s="260">
        <f>$BK$120</f>
        <v>0</v>
      </c>
      <c r="O120" s="259"/>
      <c r="P120" s="259"/>
      <c r="Q120" s="259"/>
      <c r="R120" s="105"/>
      <c r="T120" s="106"/>
      <c r="W120" s="107">
        <f>$W$121</f>
        <v>0</v>
      </c>
      <c r="Y120" s="107">
        <f>$Y$121</f>
        <v>0</v>
      </c>
      <c r="AA120" s="108">
        <f>$AA$121</f>
        <v>0</v>
      </c>
      <c r="AR120" s="104" t="s">
        <v>126</v>
      </c>
      <c r="AT120" s="104" t="s">
        <v>72</v>
      </c>
      <c r="AU120" s="104" t="s">
        <v>18</v>
      </c>
      <c r="AY120" s="104" t="s">
        <v>121</v>
      </c>
      <c r="BK120" s="109">
        <f>$BK$121</f>
        <v>0</v>
      </c>
    </row>
    <row r="121" spans="2:65" s="6" customFormat="1" ht="39" customHeight="1">
      <c r="B121" s="19"/>
      <c r="C121" s="111" t="s">
        <v>123</v>
      </c>
      <c r="D121" s="111" t="s">
        <v>122</v>
      </c>
      <c r="E121" s="112" t="s">
        <v>256</v>
      </c>
      <c r="F121" s="282" t="s">
        <v>257</v>
      </c>
      <c r="G121" s="283"/>
      <c r="H121" s="283"/>
      <c r="I121" s="283"/>
      <c r="J121" s="113" t="s">
        <v>247</v>
      </c>
      <c r="K121" s="114">
        <v>1</v>
      </c>
      <c r="L121" s="284"/>
      <c r="M121" s="283"/>
      <c r="N121" s="284">
        <f>ROUND($L$121*$K$121,2)</f>
        <v>0</v>
      </c>
      <c r="O121" s="283"/>
      <c r="P121" s="283"/>
      <c r="Q121" s="283"/>
      <c r="R121" s="20"/>
      <c r="T121" s="115"/>
      <c r="U121" s="125" t="s">
        <v>38</v>
      </c>
      <c r="V121" s="126">
        <v>0</v>
      </c>
      <c r="W121" s="126">
        <f>$V$121*$K$121</f>
        <v>0</v>
      </c>
      <c r="X121" s="126">
        <v>0</v>
      </c>
      <c r="Y121" s="126">
        <f>$X$121*$K$121</f>
        <v>0</v>
      </c>
      <c r="Z121" s="126">
        <v>0</v>
      </c>
      <c r="AA121" s="127">
        <f>$Z$121*$K$121</f>
        <v>0</v>
      </c>
      <c r="AR121" s="6" t="s">
        <v>248</v>
      </c>
      <c r="AT121" s="6" t="s">
        <v>122</v>
      </c>
      <c r="AU121" s="6" t="s">
        <v>89</v>
      </c>
      <c r="AY121" s="6" t="s">
        <v>121</v>
      </c>
      <c r="BE121" s="118">
        <f>IF($U$121="základní",$N$121,0)</f>
        <v>0</v>
      </c>
      <c r="BF121" s="118">
        <f>IF($U$121="snížená",$N$121,0)</f>
        <v>0</v>
      </c>
      <c r="BG121" s="118">
        <f>IF($U$121="zákl. přenesená",$N$121,0)</f>
        <v>0</v>
      </c>
      <c r="BH121" s="118">
        <f>IF($U$121="sníž. přenesená",$N$121,0)</f>
        <v>0</v>
      </c>
      <c r="BI121" s="118">
        <f>IF($U$121="nulová",$N$121,0)</f>
        <v>0</v>
      </c>
      <c r="BJ121" s="6" t="s">
        <v>18</v>
      </c>
      <c r="BK121" s="118">
        <f>ROUND($L$121*$K$121,2)</f>
        <v>0</v>
      </c>
      <c r="BL121" s="6" t="s">
        <v>248</v>
      </c>
      <c r="BM121" s="6" t="s">
        <v>258</v>
      </c>
    </row>
    <row r="122" spans="2:18" s="6" customFormat="1" ht="7.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3"/>
    </row>
    <row r="231" s="2" customFormat="1" ht="14.25" customHeight="1"/>
  </sheetData>
  <sheetProtection/>
  <mergeCells count="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9:I119"/>
    <mergeCell ref="L119:M119"/>
    <mergeCell ref="N119:Q119"/>
    <mergeCell ref="H1:K1"/>
    <mergeCell ref="S2:AC2"/>
    <mergeCell ref="F121:I121"/>
    <mergeCell ref="L121:M121"/>
    <mergeCell ref="N121:Q121"/>
    <mergeCell ref="N113:Q113"/>
    <mergeCell ref="N114:Q114"/>
    <mergeCell ref="N115:Q115"/>
    <mergeCell ref="N118:Q118"/>
    <mergeCell ref="N120:Q12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nadvornik</dc:creator>
  <cp:keywords/>
  <dc:description/>
  <cp:lastModifiedBy>Nikola Alferyová</cp:lastModifiedBy>
  <dcterms:created xsi:type="dcterms:W3CDTF">2016-10-16T18:34:09Z</dcterms:created>
  <dcterms:modified xsi:type="dcterms:W3CDTF">2017-05-12T06:55:54Z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